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eter/Desktop/Galvanize/ncaa-tourney/"/>
    </mc:Choice>
  </mc:AlternateContent>
  <xr:revisionPtr revIDLastSave="0" documentId="12_ncr:500000_{1FEF1841-1BDD-E74E-9344-D48571311F65}" xr6:coauthVersionLast="31" xr6:coauthVersionMax="31" xr10:uidLastSave="{00000000-0000-0000-0000-000000000000}"/>
  <bookViews>
    <workbookView xWindow="11900" yWindow="460" windowWidth="16900" windowHeight="17540" tabRatio="500" activeTab="1" xr2:uid="{00000000-000D-0000-FFFF-FFFF00000000}"/>
  </bookViews>
  <sheets>
    <sheet name="Overall" sheetId="1" r:id="rId1"/>
    <sheet name="Matchups" sheetId="2" r:id="rId2"/>
    <sheet name="1-Seed" sheetId="19" r:id="rId3"/>
    <sheet name="2-Seed" sheetId="20" r:id="rId4"/>
    <sheet name="3-Seed" sheetId="21" r:id="rId5"/>
    <sheet name="4-Seed" sheetId="22" r:id="rId6"/>
    <sheet name="5-Seed" sheetId="23" r:id="rId7"/>
    <sheet name="6-Seed" sheetId="24" r:id="rId8"/>
    <sheet name="7-Seed" sheetId="25" r:id="rId9"/>
    <sheet name="8-Seed" sheetId="26" r:id="rId10"/>
    <sheet name="9-Seed" sheetId="27" r:id="rId11"/>
    <sheet name="10-Seed" sheetId="28" r:id="rId12"/>
    <sheet name="11-Seed" sheetId="29" r:id="rId13"/>
    <sheet name="12-Seed" sheetId="30" r:id="rId14"/>
    <sheet name="13-Seed" sheetId="32" r:id="rId15"/>
    <sheet name="14-Seed" sheetId="33" r:id="rId16"/>
    <sheet name="15-Seed" sheetId="34" r:id="rId17"/>
    <sheet name="16-Seed" sheetId="31" r:id="rId18"/>
  </sheets>
  <calcPr calcId="162913"/>
</workbook>
</file>

<file path=xl/calcChain.xml><?xml version="1.0" encoding="utf-8"?>
<calcChain xmlns="http://schemas.openxmlformats.org/spreadsheetml/2006/main">
  <c r="N6" i="2" l="1"/>
  <c r="H7" i="2" l="1"/>
  <c r="I8" i="2" l="1"/>
  <c r="L6" i="2"/>
  <c r="L5" i="2"/>
  <c r="H5" i="1" l="1"/>
  <c r="H7" i="1"/>
  <c r="H9" i="1"/>
  <c r="H10" i="1"/>
  <c r="H12" i="1"/>
  <c r="H15" i="1"/>
  <c r="H19" i="1"/>
  <c r="H22" i="1"/>
  <c r="H24" i="1"/>
  <c r="H29" i="1"/>
  <c r="H30" i="1"/>
  <c r="H38" i="1"/>
  <c r="H37" i="1"/>
  <c r="H50" i="1"/>
  <c r="H64" i="1"/>
  <c r="H24" i="30"/>
  <c r="H48" i="29"/>
  <c r="H23" i="29"/>
  <c r="H22" i="29"/>
  <c r="H2" i="28"/>
  <c r="H35" i="27"/>
  <c r="H43" i="26"/>
  <c r="H41" i="26"/>
  <c r="H5" i="26"/>
  <c r="H29" i="25"/>
  <c r="H4" i="25"/>
  <c r="H2" i="25"/>
  <c r="H9" i="24"/>
  <c r="H21" i="23"/>
  <c r="H8" i="23"/>
  <c r="H3" i="23"/>
  <c r="H39" i="22"/>
  <c r="H12" i="22"/>
  <c r="H4" i="22"/>
  <c r="H3" i="22"/>
  <c r="H32" i="21"/>
  <c r="H28" i="21"/>
  <c r="H15" i="21"/>
  <c r="H10" i="21"/>
  <c r="H52" i="20"/>
  <c r="H32" i="20"/>
  <c r="H14" i="20"/>
  <c r="H10" i="20"/>
  <c r="H54" i="19"/>
  <c r="H55" i="19"/>
  <c r="H56" i="19"/>
  <c r="H57" i="19"/>
  <c r="H109" i="1"/>
  <c r="H110" i="1"/>
  <c r="H99" i="1"/>
  <c r="H108" i="1"/>
  <c r="H97" i="1"/>
  <c r="H96" i="1"/>
  <c r="H107" i="1"/>
  <c r="H92" i="1"/>
  <c r="H81" i="1"/>
  <c r="H84" i="1"/>
  <c r="H94" i="1"/>
  <c r="H87" i="1"/>
  <c r="H91" i="1"/>
  <c r="H77" i="1"/>
  <c r="H73" i="1"/>
  <c r="H76" i="1"/>
  <c r="H83" i="1"/>
  <c r="H75" i="1"/>
  <c r="H80" i="1"/>
  <c r="H90" i="1"/>
  <c r="H74" i="1"/>
  <c r="H72" i="1"/>
  <c r="H69" i="1"/>
  <c r="H79" i="1"/>
  <c r="H102" i="1"/>
  <c r="H82" i="1"/>
  <c r="H71" i="1"/>
  <c r="H78" i="1"/>
  <c r="H70" i="1"/>
  <c r="H68" i="1"/>
  <c r="H67" i="1"/>
  <c r="H66" i="1"/>
  <c r="D619" i="1"/>
  <c r="H27" i="34"/>
  <c r="H3" i="32"/>
  <c r="H25" i="32"/>
  <c r="H11" i="32"/>
  <c r="H25" i="30"/>
  <c r="H19" i="30"/>
  <c r="H35" i="30"/>
  <c r="H39" i="30"/>
  <c r="H28" i="30"/>
  <c r="H16" i="30"/>
  <c r="H33" i="30"/>
  <c r="H21" i="30"/>
  <c r="H22" i="30"/>
  <c r="H14" i="28"/>
  <c r="H57" i="28"/>
  <c r="H13" i="28"/>
  <c r="H12" i="28"/>
  <c r="H6" i="28"/>
  <c r="H10" i="28"/>
  <c r="H45" i="28"/>
  <c r="H61" i="28"/>
  <c r="H30" i="28"/>
  <c r="H32" i="28"/>
  <c r="H49" i="27"/>
  <c r="H15" i="27"/>
  <c r="H19" i="27"/>
  <c r="H38" i="26"/>
  <c r="H37" i="26"/>
  <c r="H56" i="26"/>
  <c r="H8" i="26"/>
  <c r="H47" i="26"/>
  <c r="H48" i="24"/>
  <c r="H13" i="24"/>
  <c r="H32" i="24"/>
  <c r="H60" i="24"/>
  <c r="H21" i="24"/>
  <c r="H18" i="24"/>
  <c r="H39" i="24"/>
  <c r="H68" i="24"/>
  <c r="H45" i="24"/>
  <c r="H24" i="24"/>
  <c r="H58" i="24"/>
  <c r="H15" i="24"/>
  <c r="H36" i="24"/>
  <c r="H30" i="24"/>
  <c r="H55" i="24"/>
  <c r="H10" i="23"/>
  <c r="H54" i="23"/>
  <c r="H44" i="23"/>
  <c r="H15" i="23"/>
  <c r="H67" i="23"/>
  <c r="H40" i="23"/>
  <c r="H9" i="23"/>
  <c r="H5" i="23"/>
  <c r="H51" i="23"/>
  <c r="H68" i="23"/>
  <c r="H61" i="23"/>
  <c r="H28" i="23"/>
  <c r="H32" i="23"/>
  <c r="H19" i="23"/>
  <c r="H41" i="23"/>
  <c r="H37" i="23"/>
  <c r="H50" i="23"/>
  <c r="H47" i="23"/>
  <c r="H2" i="23"/>
  <c r="H26" i="23"/>
  <c r="H12" i="23"/>
  <c r="H35" i="22"/>
  <c r="H24" i="22"/>
  <c r="H61" i="22"/>
  <c r="H34" i="22"/>
  <c r="H13" i="22"/>
  <c r="H62" i="22"/>
  <c r="H50" i="22"/>
  <c r="H48" i="22"/>
  <c r="H18" i="22"/>
  <c r="H57" i="22"/>
  <c r="H6" i="22"/>
  <c r="H32" i="22"/>
  <c r="H15" i="22"/>
  <c r="H8" i="22"/>
  <c r="H56" i="22"/>
  <c r="H27" i="22"/>
  <c r="H22" i="22"/>
  <c r="H26" i="22"/>
  <c r="H10" i="22"/>
  <c r="H49" i="22"/>
  <c r="H29" i="22"/>
  <c r="H25" i="22"/>
  <c r="H2" i="22"/>
  <c r="H42" i="22"/>
  <c r="H16" i="22"/>
  <c r="H37" i="22"/>
  <c r="H31" i="22"/>
  <c r="H59" i="21"/>
  <c r="H52" i="21"/>
  <c r="H55" i="21"/>
  <c r="H48" i="21"/>
  <c r="H35" i="21"/>
  <c r="H49" i="21"/>
  <c r="H12" i="21"/>
  <c r="H8" i="21"/>
  <c r="H54" i="21"/>
  <c r="H69" i="21"/>
  <c r="H21" i="21"/>
  <c r="H57" i="21"/>
  <c r="H36" i="21"/>
  <c r="H4" i="21"/>
  <c r="H41" i="21"/>
  <c r="H31" i="21"/>
  <c r="H20" i="21"/>
  <c r="H3" i="21"/>
  <c r="H46" i="21"/>
  <c r="H44" i="21"/>
  <c r="H34" i="21"/>
  <c r="H26" i="21"/>
  <c r="H29" i="21"/>
  <c r="H45" i="21"/>
  <c r="H24" i="21"/>
  <c r="H58" i="21"/>
  <c r="H43" i="21"/>
  <c r="H61" i="21"/>
  <c r="H22" i="21"/>
  <c r="H2" i="21"/>
  <c r="H47" i="21"/>
  <c r="H14" i="21"/>
  <c r="H13" i="21"/>
  <c r="H40" i="21"/>
  <c r="H30" i="21"/>
  <c r="H69" i="20"/>
  <c r="H46" i="20"/>
  <c r="H39" i="20"/>
  <c r="H20" i="20"/>
  <c r="H19" i="20"/>
  <c r="H49" i="20"/>
  <c r="H27" i="20"/>
  <c r="H38" i="20"/>
  <c r="H24" i="20"/>
  <c r="H61" i="20"/>
  <c r="H22" i="20"/>
  <c r="H43" i="20"/>
  <c r="H37" i="20"/>
  <c r="H9" i="20"/>
  <c r="H60" i="20"/>
  <c r="H42" i="20"/>
  <c r="H56" i="20"/>
  <c r="H51" i="20"/>
  <c r="H36" i="20"/>
  <c r="H8" i="20"/>
  <c r="H41" i="20"/>
  <c r="H34" i="20"/>
  <c r="H30" i="20"/>
  <c r="H66" i="20"/>
  <c r="H63" i="20"/>
  <c r="H29" i="20"/>
  <c r="H13" i="20"/>
  <c r="H4" i="20"/>
  <c r="H55" i="20"/>
  <c r="H31" i="20"/>
  <c r="H16" i="20"/>
  <c r="H48" i="20"/>
  <c r="H45" i="20"/>
  <c r="H7" i="20"/>
  <c r="H2" i="20"/>
  <c r="H35" i="20"/>
  <c r="H15" i="20"/>
  <c r="H1072" i="1"/>
  <c r="H1066" i="1"/>
  <c r="H1062" i="1"/>
  <c r="H1056" i="1"/>
  <c r="H1049" i="1"/>
  <c r="H1043" i="1"/>
  <c r="H1039" i="1"/>
  <c r="H1038" i="1"/>
  <c r="H1036" i="1"/>
  <c r="H1034" i="1"/>
  <c r="H1031" i="1"/>
  <c r="H1030" i="1"/>
  <c r="H1033" i="1"/>
  <c r="H1026" i="1"/>
  <c r="H1029" i="1"/>
  <c r="H1028" i="1"/>
  <c r="H171" i="1"/>
  <c r="H168" i="1"/>
  <c r="H155" i="1"/>
  <c r="H153" i="1"/>
  <c r="H147" i="1"/>
  <c r="H148" i="1"/>
  <c r="H144" i="1"/>
  <c r="H143" i="1"/>
  <c r="H139" i="1"/>
  <c r="H140" i="1"/>
  <c r="H136" i="1"/>
  <c r="H135" i="1"/>
  <c r="H133" i="1"/>
  <c r="H132" i="1"/>
  <c r="H130" i="1"/>
  <c r="H131" i="1"/>
  <c r="H236" i="1"/>
  <c r="H223" i="1"/>
  <c r="H219" i="1"/>
  <c r="H218" i="1"/>
  <c r="H215" i="1"/>
  <c r="H212" i="1"/>
  <c r="H210" i="1"/>
  <c r="H207" i="1"/>
  <c r="H206" i="1"/>
  <c r="H202" i="1"/>
  <c r="H203" i="1"/>
  <c r="H198" i="1"/>
  <c r="H200" i="1"/>
  <c r="H197" i="1"/>
  <c r="H194" i="1"/>
  <c r="H195" i="1"/>
  <c r="H301" i="1"/>
  <c r="H298" i="1"/>
  <c r="H294" i="1"/>
  <c r="H286" i="1"/>
  <c r="H282" i="1"/>
  <c r="H280" i="1"/>
  <c r="H273" i="1"/>
  <c r="H272" i="1"/>
  <c r="H271" i="1"/>
  <c r="H270" i="1"/>
  <c r="H269" i="1"/>
  <c r="H265" i="1"/>
  <c r="H264" i="1"/>
  <c r="H260" i="1"/>
  <c r="H258" i="1"/>
  <c r="H259" i="1"/>
  <c r="H335" i="1"/>
  <c r="H355" i="1"/>
  <c r="H334" i="1"/>
  <c r="H322" i="1"/>
  <c r="H1007" i="1"/>
  <c r="H1001" i="1"/>
  <c r="H988" i="1"/>
  <c r="H982" i="1"/>
  <c r="H980" i="1"/>
  <c r="H981" i="1"/>
  <c r="H979" i="1"/>
  <c r="H971" i="1"/>
  <c r="H970" i="1"/>
  <c r="H973" i="1"/>
  <c r="H967" i="1"/>
  <c r="H966" i="1"/>
  <c r="H965" i="1"/>
  <c r="H962" i="1"/>
  <c r="H963" i="1"/>
  <c r="H964" i="1"/>
  <c r="H935" i="1"/>
  <c r="H932" i="1"/>
  <c r="H927" i="1"/>
  <c r="H922" i="1"/>
  <c r="H920" i="1"/>
  <c r="H917" i="1"/>
  <c r="H915" i="1"/>
  <c r="H911" i="1"/>
  <c r="H913" i="1"/>
  <c r="H909" i="1"/>
  <c r="H906" i="1"/>
  <c r="H899" i="1"/>
  <c r="H904" i="1"/>
  <c r="H907" i="1"/>
  <c r="H903" i="1"/>
  <c r="H898" i="1"/>
  <c r="H835" i="1"/>
  <c r="H834" i="1"/>
  <c r="H836" i="1"/>
  <c r="H837" i="1"/>
  <c r="H838" i="1"/>
  <c r="H840" i="1"/>
  <c r="H844" i="1"/>
  <c r="H846" i="1"/>
  <c r="H851" i="1"/>
  <c r="H850" i="1"/>
  <c r="H854" i="1"/>
  <c r="H855" i="1"/>
  <c r="H856" i="1"/>
  <c r="H860" i="1"/>
  <c r="H870" i="1"/>
  <c r="H880" i="1"/>
  <c r="H818" i="1"/>
  <c r="H810" i="1"/>
  <c r="H796" i="1"/>
  <c r="H794" i="1"/>
  <c r="H790" i="1"/>
  <c r="H787" i="1"/>
  <c r="H785" i="1"/>
  <c r="H784" i="1"/>
  <c r="H781" i="1"/>
  <c r="H778" i="1"/>
  <c r="H776" i="1"/>
  <c r="H774" i="1"/>
  <c r="H773" i="1"/>
  <c r="H772" i="1"/>
  <c r="H770" i="1"/>
  <c r="H771" i="1"/>
  <c r="H733" i="1"/>
  <c r="H729" i="1"/>
  <c r="H724" i="1"/>
  <c r="H725" i="1"/>
  <c r="H722" i="1"/>
  <c r="H720" i="1"/>
  <c r="H716" i="1"/>
  <c r="H715" i="1"/>
  <c r="H714" i="1"/>
  <c r="H713" i="1"/>
  <c r="H712" i="1"/>
  <c r="H710" i="1"/>
  <c r="H708" i="1"/>
  <c r="H709" i="1"/>
  <c r="H707" i="1"/>
  <c r="H706" i="1"/>
  <c r="H686" i="1"/>
  <c r="H687" i="1"/>
  <c r="H678" i="1"/>
  <c r="H666" i="1"/>
  <c r="H660" i="1"/>
  <c r="H654" i="1"/>
  <c r="H653" i="1"/>
  <c r="H651" i="1"/>
  <c r="H652" i="1"/>
  <c r="H650" i="1"/>
  <c r="H649" i="1"/>
  <c r="H648" i="1"/>
  <c r="H645" i="1"/>
  <c r="H643" i="1"/>
  <c r="H644" i="1"/>
  <c r="H642" i="1"/>
  <c r="H623" i="1"/>
  <c r="H594" i="1"/>
  <c r="H593" i="1"/>
  <c r="H590" i="1"/>
  <c r="H588" i="1"/>
  <c r="H589" i="1"/>
  <c r="H587" i="1"/>
  <c r="H586" i="1"/>
  <c r="H584" i="1"/>
  <c r="H583" i="1"/>
  <c r="H585" i="1"/>
  <c r="H582" i="1"/>
  <c r="H578" i="1"/>
  <c r="H581" i="1"/>
  <c r="H580" i="1"/>
  <c r="H579" i="1"/>
  <c r="H560" i="1"/>
  <c r="H555" i="1"/>
  <c r="H551" i="1"/>
  <c r="H547" i="1"/>
  <c r="H537" i="1"/>
  <c r="H535" i="1"/>
  <c r="H531" i="1"/>
  <c r="H533" i="1"/>
  <c r="H528" i="1"/>
  <c r="H523" i="1"/>
  <c r="H518" i="1"/>
  <c r="H520" i="1"/>
  <c r="H519" i="1"/>
  <c r="H516" i="1"/>
  <c r="H517" i="1"/>
  <c r="H515" i="1"/>
  <c r="H496" i="1"/>
  <c r="H493" i="1"/>
  <c r="H490" i="1"/>
  <c r="H486" i="1"/>
  <c r="H481" i="1"/>
  <c r="H467" i="1"/>
  <c r="H463" i="1"/>
  <c r="H464" i="1"/>
  <c r="H459" i="1"/>
  <c r="H461" i="1"/>
  <c r="H457" i="1"/>
  <c r="H456" i="1"/>
  <c r="H454" i="1"/>
  <c r="H452" i="1"/>
  <c r="H451" i="1"/>
  <c r="H450" i="1"/>
  <c r="H435" i="1"/>
  <c r="H427" i="1"/>
  <c r="H425" i="1"/>
  <c r="H410" i="1"/>
  <c r="H407" i="1"/>
  <c r="H400" i="1"/>
  <c r="H399" i="1"/>
  <c r="H398" i="1"/>
  <c r="H396" i="1"/>
  <c r="H394" i="1"/>
  <c r="H391" i="1"/>
  <c r="H390" i="1"/>
  <c r="H388" i="1"/>
  <c r="H389" i="1"/>
  <c r="H387" i="1"/>
  <c r="H342" i="1"/>
  <c r="H333" i="1"/>
  <c r="H331" i="1"/>
  <c r="H330" i="1"/>
  <c r="H328" i="1"/>
  <c r="H326" i="1"/>
  <c r="H327" i="1"/>
  <c r="H325" i="1"/>
  <c r="H323" i="1"/>
  <c r="H380" i="1"/>
  <c r="H370" i="1"/>
  <c r="H367" i="1"/>
  <c r="H386" i="1"/>
</calcChain>
</file>

<file path=xl/sharedStrings.xml><?xml version="1.0" encoding="utf-8"?>
<sst xmlns="http://schemas.openxmlformats.org/spreadsheetml/2006/main" count="3373" uniqueCount="1338">
  <si>
    <t>Northwestern State</t>
  </si>
  <si>
    <t>Louisville</t>
  </si>
  <si>
    <t>Indiana</t>
  </si>
  <si>
    <t>Gonzaga</t>
  </si>
  <si>
    <t>Kansas</t>
  </si>
  <si>
    <t>Ohio State</t>
  </si>
  <si>
    <t>Duke</t>
  </si>
  <si>
    <t>Georgetown</t>
  </si>
  <si>
    <t>Miami</t>
  </si>
  <si>
    <t>Florida</t>
  </si>
  <si>
    <t>Michigan State</t>
  </si>
  <si>
    <t>New Mexico</t>
  </si>
  <si>
    <t>Marquette</t>
  </si>
  <si>
    <t>Michigan</t>
  </si>
  <si>
    <t>Syracuse</t>
  </si>
  <si>
    <t>Saint Louis</t>
  </si>
  <si>
    <t>Kansas State</t>
  </si>
  <si>
    <t>Wisconsin</t>
  </si>
  <si>
    <t>VCU</t>
  </si>
  <si>
    <t>Oklahoma State</t>
  </si>
  <si>
    <t>UNLV</t>
  </si>
  <si>
    <t>Arizona</t>
  </si>
  <si>
    <t>Memphis</t>
  </si>
  <si>
    <t>Butler</t>
  </si>
  <si>
    <t>UCLA</t>
  </si>
  <si>
    <t>Creighton</t>
  </si>
  <si>
    <t>Notre Dame</t>
  </si>
  <si>
    <t>Illinois</t>
  </si>
  <si>
    <t>Pitt</t>
  </si>
  <si>
    <t>UNC</t>
  </si>
  <si>
    <t>Colorado State</t>
  </si>
  <si>
    <t>N.C. State</t>
  </si>
  <si>
    <t>Wichita State</t>
  </si>
  <si>
    <t>Missouri</t>
  </si>
  <si>
    <t>Villanova</t>
  </si>
  <si>
    <t>Temple</t>
  </si>
  <si>
    <t>Iowa State</t>
  </si>
  <si>
    <t>Cincinnati</t>
  </si>
  <si>
    <t>Oklahoma</t>
  </si>
  <si>
    <t>Colorado</t>
  </si>
  <si>
    <t>Minnesota</t>
  </si>
  <si>
    <t>St. Mary's</t>
  </si>
  <si>
    <t>Belmont</t>
  </si>
  <si>
    <t>Bucknell</t>
  </si>
  <si>
    <t>Oregon</t>
  </si>
  <si>
    <t>Cal</t>
  </si>
  <si>
    <t>Akron</t>
  </si>
  <si>
    <t>Ole Miss</t>
  </si>
  <si>
    <t>La Salle</t>
  </si>
  <si>
    <t>New Mexico State</t>
  </si>
  <si>
    <t>South Dakota State</t>
  </si>
  <si>
    <t>Davidson</t>
  </si>
  <si>
    <t>Valparaiso</t>
  </si>
  <si>
    <t>Harvard</t>
  </si>
  <si>
    <t>Florida Gulf Coast</t>
  </si>
  <si>
    <t>Iona</t>
  </si>
  <si>
    <t>Albany</t>
  </si>
  <si>
    <t>Pacific</t>
  </si>
  <si>
    <t>Southern</t>
  </si>
  <si>
    <t>Montana</t>
  </si>
  <si>
    <t>James Madison</t>
  </si>
  <si>
    <t>Western Kentucky</t>
  </si>
  <si>
    <t>North Carolina A&amp;T</t>
  </si>
  <si>
    <t>Team</t>
  </si>
  <si>
    <t>Seed</t>
  </si>
  <si>
    <t>Wins</t>
  </si>
  <si>
    <t>Kentucky</t>
  </si>
  <si>
    <t>Year</t>
  </si>
  <si>
    <t>Baylor</t>
  </si>
  <si>
    <t>Florida State</t>
  </si>
  <si>
    <t>Vanderbilt</t>
  </si>
  <si>
    <t>Murray State</t>
  </si>
  <si>
    <t>Alabama</t>
  </si>
  <si>
    <t>Southern Miss</t>
  </si>
  <si>
    <t>Purdue</t>
  </si>
  <si>
    <t>Virginia</t>
  </si>
  <si>
    <t>Xavier</t>
  </si>
  <si>
    <t>West Virginia</t>
  </si>
  <si>
    <t>Texas</t>
  </si>
  <si>
    <t>Long Beach State</t>
  </si>
  <si>
    <t>South Florida</t>
  </si>
  <si>
    <t>Ohio</t>
  </si>
  <si>
    <t>St. Bonaventure</t>
  </si>
  <si>
    <t>BYU</t>
  </si>
  <si>
    <t>Lehigh</t>
  </si>
  <si>
    <t>Detroit</t>
  </si>
  <si>
    <t>Loyola (MD)</t>
  </si>
  <si>
    <t>Norfolk State</t>
  </si>
  <si>
    <t>Vermont</t>
  </si>
  <si>
    <t>UNC-Asheville</t>
  </si>
  <si>
    <t>UConn</t>
  </si>
  <si>
    <t>Aggregate Margin</t>
  </si>
  <si>
    <t>Average MOV</t>
  </si>
  <si>
    <t>Teams</t>
  </si>
  <si>
    <t>Seed Adv.</t>
  </si>
  <si>
    <t>Fav. MOV</t>
  </si>
  <si>
    <t>[1] Louisville vs. [16] North Carolina A&amp;T</t>
  </si>
  <si>
    <t>[1] Kansas vs. [16] Western Kentucky</t>
  </si>
  <si>
    <t>[1] Indiana vs. [16] James Madison</t>
  </si>
  <si>
    <t>[1] Gonzaga vs. [16] Southern</t>
  </si>
  <si>
    <t>[2] Duke vs. [15] Albany</t>
  </si>
  <si>
    <t>[2] Georgetown vs. [15] Florida Gulf Coast</t>
  </si>
  <si>
    <t>[2] Miami vs. [15] Pacific</t>
  </si>
  <si>
    <t>[2] Ohio State vs [15] Iona</t>
  </si>
  <si>
    <t>[3] Michigan State vs [14] Valparaiso</t>
  </si>
  <si>
    <t>[3] Florida vs. [14] Northwestern State</t>
  </si>
  <si>
    <t>[3] Marquette vs. [14] Davidson</t>
  </si>
  <si>
    <t>[3] New Mexico vs [14] Harvard</t>
  </si>
  <si>
    <t>[4] Saint Louis vs. [13] New Mexico State</t>
  </si>
  <si>
    <t>[4] Michigan vs. [13] South Dakota State</t>
  </si>
  <si>
    <t>[4] Syracuse vs. [13] Montana</t>
  </si>
  <si>
    <t>[4] Kansas State vs. [13] La Salle</t>
  </si>
  <si>
    <t>[5] Oklahoma State vs. [12] Oregon</t>
  </si>
  <si>
    <t>[5] VCU vs. [12] Akron</t>
  </si>
  <si>
    <t>[5] UNLV vs. [12] Cal</t>
  </si>
  <si>
    <t>[5] Wisconsin vs. [12] Ole Miss</t>
  </si>
  <si>
    <t>[6] Memphis vs. [11] St. Mary's</t>
  </si>
  <si>
    <t>[6] UCLA vs. [11] Minnesota</t>
  </si>
  <si>
    <t>[6] Butler vs. [11] Bucknell</t>
  </si>
  <si>
    <t>[6] Arizona vs. [11] Belmont</t>
  </si>
  <si>
    <t>[7] Creighton vs. [10] Cincinnati</t>
  </si>
  <si>
    <t>[7] Illinois vs. [10] Colorado</t>
  </si>
  <si>
    <t>[7] Notre Dame vs. [10] Iowa State</t>
  </si>
  <si>
    <t>[8] Colorado State vs. [9] Missouri</t>
  </si>
  <si>
    <t>[8] UNC vs. [9] Villanova</t>
  </si>
  <si>
    <t>[8] N.C. State vs. [9] Temple</t>
  </si>
  <si>
    <t>[8] Pitt vs. [9] Wichita State</t>
  </si>
  <si>
    <t>[1] Louisville vs. [8] Colorado State</t>
  </si>
  <si>
    <t>[4] Saint Louis vs. [12] Oregon</t>
  </si>
  <si>
    <t>[3] Michigan State vs. [6] Memphis</t>
  </si>
  <si>
    <t>[2] Duke vs. [7] Creighton</t>
  </si>
  <si>
    <t>[1] Kansas vs. [8] UNC</t>
  </si>
  <si>
    <t>[1] Indiana vs. [9] Temple</t>
  </si>
  <si>
    <t>[1] Gonzaga vs. [9] Wichita State</t>
  </si>
  <si>
    <t>[2] Miami vs. [7] Illinois</t>
  </si>
  <si>
    <t>[2] Ohio State vs. [10] Iowa State</t>
  </si>
  <si>
    <t>[3] Florida vs. [11] Minnesota</t>
  </si>
  <si>
    <t>[3] Marquette vs. [6] Butler</t>
  </si>
  <si>
    <t>[4] Michigan vs. [5] VCU</t>
  </si>
  <si>
    <t>[4] Syracuse vs. [12] Cal</t>
  </si>
  <si>
    <t>[6] Arizona vs. [14] Harvard</t>
  </si>
  <si>
    <t>[7] San Diego State vs. [15] Florida Gulf Coast</t>
  </si>
  <si>
    <t>[7] San Diego State vs. [10] Oklahoma</t>
  </si>
  <si>
    <t>San Diego State</t>
  </si>
  <si>
    <t>[12] Ole Miss vs. [13] La Salle</t>
  </si>
  <si>
    <t>[1] Louisville vs. [12] Oregon</t>
  </si>
  <si>
    <t>[1] Kansas vs. [4] Michigan</t>
  </si>
  <si>
    <t>[1] Indiana vs. [4] Syracuse</t>
  </si>
  <si>
    <t>[2] Duke vs. [3] Michigan State</t>
  </si>
  <si>
    <t>[2] Miami vs. [3] Marquette</t>
  </si>
  <si>
    <t>[2] Ohio State vs. [6] Arizona</t>
  </si>
  <si>
    <t>[3] Florida vs. [15] Florida Gulf Coast</t>
  </si>
  <si>
    <t>[9] Wichita State vs. [13] La Salle</t>
  </si>
  <si>
    <t>[1] Louisville vs. [2] Duke</t>
  </si>
  <si>
    <t>[2] Ohio State vs. [9] Wichita State</t>
  </si>
  <si>
    <t>[3] Florida vs. [4] Michigan</t>
  </si>
  <si>
    <t>[3] Marquette vs. [4] Syracuse</t>
  </si>
  <si>
    <t>[1] Louisville vs. [9] Wichita State</t>
  </si>
  <si>
    <t>[4] Michigan vs. [4] Syracuse</t>
  </si>
  <si>
    <t>[1] Kentucky vs. [16] Western Kentucky</t>
  </si>
  <si>
    <t>[1] Syracuse vs. [16] UNC-Asheville</t>
  </si>
  <si>
    <t>[1] UNC vs. [16] Vermont</t>
  </si>
  <si>
    <t>[2] Duke vs. [15] Lehigh</t>
  </si>
  <si>
    <t>[2] Missouri vs. [15] Norfolk State</t>
  </si>
  <si>
    <t>[2] Ohio State vs. [15] Loyola (MD)</t>
  </si>
  <si>
    <t>[2] Kansas vs. [15] Detroit</t>
  </si>
  <si>
    <t>[3] Baylor vs. [14] South Dakota State</t>
  </si>
  <si>
    <t>[3] Marquette vs. [14] BYU</t>
  </si>
  <si>
    <t>[3] Florida State vs. [14] St. Bonaventure</t>
  </si>
  <si>
    <t>[3] Georgetown vs. [14] Belmont</t>
  </si>
  <si>
    <t>[4] Indiana vs. [13] New Mexico State</t>
  </si>
  <si>
    <t>[4] Louisville vs. [13] Davidson</t>
  </si>
  <si>
    <t>[4] Wisconsin vs. [13] Montana</t>
  </si>
  <si>
    <t>[4] Michigan vs. [13] Ohio</t>
  </si>
  <si>
    <t>[5] Wichita State vs. [12] VCU</t>
  </si>
  <si>
    <t>[5] New Mexico vs. [12] Long Beach State</t>
  </si>
  <si>
    <t>[5] Vanderbilt vs. [12] Harvard</t>
  </si>
  <si>
    <t>[5] Temple vs. [12] South Florida</t>
  </si>
  <si>
    <t>[6] UNLV vs. [11] Colorado</t>
  </si>
  <si>
    <t>[6] Murray State vs. [11] Colorado State</t>
  </si>
  <si>
    <t>[6] Cincinnati vs. [11] Texas</t>
  </si>
  <si>
    <t>[6] San Diego State vs. [11] N.C. State</t>
  </si>
  <si>
    <t>[7] Notre Dame vs. [10] Xavier</t>
  </si>
  <si>
    <t>[7] Florida vs. [10] Virginia</t>
  </si>
  <si>
    <t>[7] Gonzaga vs. [10] West Virginia</t>
  </si>
  <si>
    <t>[7] St. Mary's vs. [10] Purdue</t>
  </si>
  <si>
    <t>[8] Iowa State vs. [9] UConn</t>
  </si>
  <si>
    <t>[8] Memphis vs. [9] Saint Louis</t>
  </si>
  <si>
    <t>[8] Kansas State vs. [9] Southern Miss</t>
  </si>
  <si>
    <t>[8] Creighton vs. [9] Alabama</t>
  </si>
  <si>
    <t>[1] Kentucky vs. [8] Iowa State</t>
  </si>
  <si>
    <t>[1] Michigan State vs. [9] Saint Louis</t>
  </si>
  <si>
    <t>[1] Syracuse vs. [8] Kansas State</t>
  </si>
  <si>
    <t>[1] UNC vs. [8] Creighton</t>
  </si>
  <si>
    <t>[2] Ohio State vs. [7] Gonzaga</t>
  </si>
  <si>
    <t>[2] Kansas vs. [10] Purdue</t>
  </si>
  <si>
    <t>[3] Baylor vs. [11] Colorado</t>
  </si>
  <si>
    <t>[3] Marquette vs. [6] Murray State</t>
  </si>
  <si>
    <t>[3] Florida State vs. [6] Cincinnati</t>
  </si>
  <si>
    <t>[3] Georgetown vs. [11] N.C. State</t>
  </si>
  <si>
    <t>[4] Indiana vs. [12] VCU</t>
  </si>
  <si>
    <t>[4] Louisville vs. [5] New Mexico</t>
  </si>
  <si>
    <t>[4] Wisconsin vs. [5] Vanderbilt</t>
  </si>
  <si>
    <t>[7] Florida vs. [15] Norfolk State</t>
  </si>
  <si>
    <t>[10] Xavier vs. [15] Lehigh</t>
  </si>
  <si>
    <t>[12] South Florida vs. [13] Ohio</t>
  </si>
  <si>
    <t>[1] Kentucky vs. [4] Indiana</t>
  </si>
  <si>
    <t>[1] Michigan State vs. [4] Louisville</t>
  </si>
  <si>
    <t>[1] Syracuse vs. [4] Wisconsin</t>
  </si>
  <si>
    <t>[1] UNC vs. [13] Ohio</t>
  </si>
  <si>
    <t>[2] Ohio State vs. [6] Cincinnati</t>
  </si>
  <si>
    <t>[2] Kansas vs. [11] N.C. State</t>
  </si>
  <si>
    <t>[3] Baylor vs. [10] Xavier</t>
  </si>
  <si>
    <t>[3] Marquette vs. [7] Florida</t>
  </si>
  <si>
    <t>[1] Kentucky vs. [3] Baylor</t>
  </si>
  <si>
    <t>[1] Syracuse vs. [2] Ohio State</t>
  </si>
  <si>
    <t>[1] UNC vs. [2] Kansas</t>
  </si>
  <si>
    <t>[4] Louisville vs. [7] Florida</t>
  </si>
  <si>
    <t>[1] Kentucky vs. [4] Louisville</t>
  </si>
  <si>
    <t>[1] Kentucky vs. [2] Kansas</t>
  </si>
  <si>
    <t>St. John's</t>
  </si>
  <si>
    <t>Washington</t>
  </si>
  <si>
    <t>Texas A&amp;M</t>
  </si>
  <si>
    <t>George Mason</t>
  </si>
  <si>
    <t>Old Dominion</t>
  </si>
  <si>
    <t>Tennessee</t>
  </si>
  <si>
    <t>Penn State</t>
  </si>
  <si>
    <t>Georgia</t>
  </si>
  <si>
    <t>Utah State</t>
  </si>
  <si>
    <t>Clemson</t>
  </si>
  <si>
    <t>Richmond</t>
  </si>
  <si>
    <t>Oakland</t>
  </si>
  <si>
    <t>Princeton</t>
  </si>
  <si>
    <t>Morehead State</t>
  </si>
  <si>
    <t>Wofford</t>
  </si>
  <si>
    <t>Indiana State</t>
  </si>
  <si>
    <t>St. Peter's</t>
  </si>
  <si>
    <t>Northern Colorado</t>
  </si>
  <si>
    <t>UC-Santa Barbara</t>
  </si>
  <si>
    <t>Boston University</t>
  </si>
  <si>
    <t>UTSA</t>
  </si>
  <si>
    <t>Hampton</t>
  </si>
  <si>
    <t>[1] Ohio State vs. [16] UTSA</t>
  </si>
  <si>
    <t>[1] Duke vs. [16] Hampton</t>
  </si>
  <si>
    <t>[1] Kansas vs. [16] Boston University</t>
  </si>
  <si>
    <t>[1] Pitt vs. [16] UNC-Asheville</t>
  </si>
  <si>
    <t>[2] San Diego State vs. [15] Northern Colorado</t>
  </si>
  <si>
    <t>[2] Notre Dame vs. [15] Akron</t>
  </si>
  <si>
    <t>[2] Florida vs. [15] UC-Santa Barbara</t>
  </si>
  <si>
    <t>[3] Syracuse vs. [14] Indiana State</t>
  </si>
  <si>
    <t>[3] UConn vs. [14] Bucknell</t>
  </si>
  <si>
    <t>[3] Purdue vs. [14] St. Peter's</t>
  </si>
  <si>
    <t>[3] BYU vs. [14] Wofford</t>
  </si>
  <si>
    <t>[4] Kentucky vs. [13] Princeton</t>
  </si>
  <si>
    <t>[4] Texas vs. [13] Oakland</t>
  </si>
  <si>
    <t>[4] Louisville vs. [13] Morehead State</t>
  </si>
  <si>
    <t>[4] Wisconsin vs. [13] Belmont</t>
  </si>
  <si>
    <t>[5] West Virginia vs. [12] Clemson</t>
  </si>
  <si>
    <t>[5] Arizona vs. [12] Memphis</t>
  </si>
  <si>
    <t>[5] Vanderbilt vs. [12] Richmond</t>
  </si>
  <si>
    <t>[5] Kansas State vs. [12] Utah State</t>
  </si>
  <si>
    <t>[6] Xavier vs. [11] Marquette</t>
  </si>
  <si>
    <t>[6] Cincinnati vs. [11] Missouri</t>
  </si>
  <si>
    <t>[6] Georgetown vs. [11] VCU</t>
  </si>
  <si>
    <t>[6] St. John's vs. [11] Gonzaga</t>
  </si>
  <si>
    <t>[7] Washington vs. [10] Georgia</t>
  </si>
  <si>
    <t>[7] Temple vs. [10] Penn State</t>
  </si>
  <si>
    <t>[7] Texas A&amp;M vs. [10] Florida State</t>
  </si>
  <si>
    <t>[7] UCLA vs. [10] Michigan State</t>
  </si>
  <si>
    <t>[8] George Mason vs. [9] Villanova</t>
  </si>
  <si>
    <t>[8] Michigan vs. [9] Tennessee</t>
  </si>
  <si>
    <t>[8] UNLV vs. [9] Illinois</t>
  </si>
  <si>
    <t>[8] Butler vs. [9] Old Dominion</t>
  </si>
  <si>
    <t>[1] Ohio State vs. [8] George Mason</t>
  </si>
  <si>
    <t>[1] Duke vs. [8] Michigan</t>
  </si>
  <si>
    <t>[1] Kansas vs. [9] Illinois</t>
  </si>
  <si>
    <t>[1] Pitt vs. [8] Butler</t>
  </si>
  <si>
    <t>[2] UNC vs. [7] Washington</t>
  </si>
  <si>
    <t>[2] San Diego State vs. [7] Temple</t>
  </si>
  <si>
    <t>[2] Notre Dame vs. [10] Florida State</t>
  </si>
  <si>
    <t>[2] Florida vs. [7] UCLA</t>
  </si>
  <si>
    <t>[3] Syracuse vs. [11] Marquette</t>
  </si>
  <si>
    <t>[3] UConn vs. [6] Cincinnati</t>
  </si>
  <si>
    <t>[3] Purdue vs. [11] VCU</t>
  </si>
  <si>
    <t>[3] BYU vs. [11] Gonzaga</t>
  </si>
  <si>
    <t>[4] Texas vs. [5] Arizona</t>
  </si>
  <si>
    <t>[4] Wisconsin vs. [5] Kansas State</t>
  </si>
  <si>
    <t>[12] Richmond vs. [13] Morehead State</t>
  </si>
  <si>
    <t>[1] Ohio State vs. [4] Kentucky</t>
  </si>
  <si>
    <t>[1] Duke vs. [5] Arizona</t>
  </si>
  <si>
    <t>[1] Kansas vs. [12] Richmond</t>
  </si>
  <si>
    <t>[2] UNC vs. [11] Marquette</t>
  </si>
  <si>
    <t>[2] San Diego State vs. [3] UConn</t>
  </si>
  <si>
    <t>[2] Florida vs. [3] BYU</t>
  </si>
  <si>
    <t>[4] Wisconsin vs. [8] Butler</t>
  </si>
  <si>
    <t>[10] Florida State vs. [11] VCU</t>
  </si>
  <si>
    <t>[1] Kansas vs. [11] VCU</t>
  </si>
  <si>
    <t>[2] UNC vs. [4] Kentucky</t>
  </si>
  <si>
    <t>[2] Florida vs. [8] Butler</t>
  </si>
  <si>
    <t>[3] UConn vs. [5] Arizona</t>
  </si>
  <si>
    <t>[3] UConn vs. [4] Kentucky</t>
  </si>
  <si>
    <t>[8] Butler vs. [11] VCU</t>
  </si>
  <si>
    <t>[3] UConn vs. [8] Butler</t>
  </si>
  <si>
    <t>Maryland</t>
  </si>
  <si>
    <t>Northern Iowa</t>
  </si>
  <si>
    <t>Wake Forest</t>
  </si>
  <si>
    <t>Georgia Tech</t>
  </si>
  <si>
    <t>UTEP</t>
  </si>
  <si>
    <t>Cornell</t>
  </si>
  <si>
    <t>Siena</t>
  </si>
  <si>
    <t>Houston</t>
  </si>
  <si>
    <t>Sam Houston State</t>
  </si>
  <si>
    <t>Morgan State</t>
  </si>
  <si>
    <t>North Texas</t>
  </si>
  <si>
    <t>Robert Morris</t>
  </si>
  <si>
    <t>East Tennessee State</t>
  </si>
  <si>
    <t>Arkansas-Pine Bluff</t>
  </si>
  <si>
    <t>[1] Kansas vs. [16] Lehigh</t>
  </si>
  <si>
    <t>[1] Syracuse vs. [16] Vermont</t>
  </si>
  <si>
    <t>[1] Kentucky vs. [16] East Tennessee State</t>
  </si>
  <si>
    <t>[1] Duke vs. [16] Arkansas-Pine Bluff</t>
  </si>
  <si>
    <t>[2] Ohio State vs. [15] UC-Santa Barbara</t>
  </si>
  <si>
    <t>[2] Kansas State vs. [15] North Texas</t>
  </si>
  <si>
    <t>[2] West Virginia vs. [15] Morgan State</t>
  </si>
  <si>
    <t>[2] Villanova vs. [15] Robert Morris</t>
  </si>
  <si>
    <t>[3] Georgetown vs. [14] Ohio</t>
  </si>
  <si>
    <t>[3] Pitt vs. [14] Oakland</t>
  </si>
  <si>
    <t>[3] New Mexico vs. [14] Montana</t>
  </si>
  <si>
    <t>[3] Baylor vs. [14] Sam Houston State</t>
  </si>
  <si>
    <t>[4] Maryland vs. [13] Houston</t>
  </si>
  <si>
    <t>[4] Vanderbilt vs. [13] Murray State</t>
  </si>
  <si>
    <t>[4] Wisconsin vs. [13] Wofford</t>
  </si>
  <si>
    <t>[4] Purdue vs. [13] Siena</t>
  </si>
  <si>
    <t>[5] Michigan State vs. [12] New Mexico State</t>
  </si>
  <si>
    <t>[5] Butler vs. [12] UTEP</t>
  </si>
  <si>
    <t>[5] Temple vs. [12] Cornell</t>
  </si>
  <si>
    <t>[5] Texas A&amp;M vs. [12] Utah State</t>
  </si>
  <si>
    <t>[6] Tennessee vs. [11] San Diego State</t>
  </si>
  <si>
    <t>[6] Xavier vs. [11] Minnesota</t>
  </si>
  <si>
    <t>[6] Marquette vs. [11] Washington</t>
  </si>
  <si>
    <t>[6] Notre Dame vs. [11] Old Dominion</t>
  </si>
  <si>
    <t>[7] Oklahoma State vs. [10] Georgia Tech</t>
  </si>
  <si>
    <t>[7] BYU vs. [10] Florida</t>
  </si>
  <si>
    <t>[7] Clemson vs. [10] Missouri</t>
  </si>
  <si>
    <t>[8] UNLV vs. [9] Northern Iowa</t>
  </si>
  <si>
    <t>[8] Gonzaga vs. [9] Florida State</t>
  </si>
  <si>
    <t>[8] Texas vs. [9] Wake Forest</t>
  </si>
  <si>
    <t>[8] Cal vs. [9] Louisville</t>
  </si>
  <si>
    <t>[7] Richmond vs. [10] St. Mary's</t>
  </si>
  <si>
    <t>[1] Kansas vs. [9] Northern Iowa</t>
  </si>
  <si>
    <t>[1] Syracuse vs. [8] Gonzaga</t>
  </si>
  <si>
    <t>[1] Kentucky vs. [9] Wake Forest</t>
  </si>
  <si>
    <t>[1] Duke vs. [8] Cal</t>
  </si>
  <si>
    <t>[2] Ohio State vs. [10] Georgia Tech</t>
  </si>
  <si>
    <t>[2] Kansas State vs. [7] BYU</t>
  </si>
  <si>
    <t>[2] West Virginia vs. [10] Missouri</t>
  </si>
  <si>
    <t>[2] Villanova vs. [10] St. Mary's</t>
  </si>
  <si>
    <t>[3] Pitt vs. [6] Xavier</t>
  </si>
  <si>
    <t>[3] New Mexico vs. [11] Washington</t>
  </si>
  <si>
    <t>[3] Baylor vs. [11] Old Dominion</t>
  </si>
  <si>
    <t>[4] Maryland vs. [5] Michigan State</t>
  </si>
  <si>
    <t>[4] Wisconsin vs. [12] Cornell</t>
  </si>
  <si>
    <t>[4] Purdue vs. [5] Texas A&amp;M</t>
  </si>
  <si>
    <t>[5] Butler vs. [13] Murray State</t>
  </si>
  <si>
    <t>[6] Tennessee vs. [14] Ohio</t>
  </si>
  <si>
    <t>[1] Syracuse vs. [5] Butler</t>
  </si>
  <si>
    <t>[1] Kentucky vs. [12] Cornell</t>
  </si>
  <si>
    <t>[1] Duke vs. [4] Purdue</t>
  </si>
  <si>
    <t>[2] Ohio State vs. [6] Tennessee</t>
  </si>
  <si>
    <t>[2] Kansas State vs. [6] Xavier</t>
  </si>
  <si>
    <t>[2] West Virginia vs. [11] Washington</t>
  </si>
  <si>
    <t>[3] Baylor vs. [10] St. Mary's</t>
  </si>
  <si>
    <t>[5] Michigan State vs. [9] Northern Iowa</t>
  </si>
  <si>
    <t>[1] Kentucky vs. [2] West Virginia</t>
  </si>
  <si>
    <t>[1] Duke vs. [3] Baylor</t>
  </si>
  <si>
    <t>[2] Kansas State vs. [5] Butler</t>
  </si>
  <si>
    <t>[5] Michigan State vs. [6] Tennessee</t>
  </si>
  <si>
    <t>[1] Duke vs. [2] West Virginia</t>
  </si>
  <si>
    <t>[5] Michigan State vs. [5] Butler</t>
  </si>
  <si>
    <t>[1] Duke vs. [5] Butler</t>
  </si>
  <si>
    <t>Utah</t>
  </si>
  <si>
    <t>Arizona State</t>
  </si>
  <si>
    <t>Boston College</t>
  </si>
  <si>
    <t>LSU</t>
  </si>
  <si>
    <t>USC</t>
  </si>
  <si>
    <t>Dayton</t>
  </si>
  <si>
    <t>Cleveland State</t>
  </si>
  <si>
    <t>Mississippi State</t>
  </si>
  <si>
    <t>Portland State</t>
  </si>
  <si>
    <t>North Dakota State</t>
  </si>
  <si>
    <t>Stephen F. Austin</t>
  </si>
  <si>
    <t>American</t>
  </si>
  <si>
    <t>Cal State Northridge</t>
  </si>
  <si>
    <t>Binghamton</t>
  </si>
  <si>
    <t>Radford</t>
  </si>
  <si>
    <t>Chattanooga</t>
  </si>
  <si>
    <t>[1] Louisville vs. [16] Morehead State</t>
  </si>
  <si>
    <t>[1] UConn vs. [16] Chattanooga</t>
  </si>
  <si>
    <t>[1] Pitt vs. [16] East Tennessee State</t>
  </si>
  <si>
    <t>[1] UNC vs. [16] Radford</t>
  </si>
  <si>
    <t>[2] Oklahoma vs. [15] Morgan State</t>
  </si>
  <si>
    <t>[2] Duke vs. [15] Binghamton</t>
  </si>
  <si>
    <t>[2] Memphis vs. [15] Cal State Northridge</t>
  </si>
  <si>
    <t>[2] Michigan State vs. [15] Robert Morris</t>
  </si>
  <si>
    <t>[3] Kansas vs. [14] North Dakota State</t>
  </si>
  <si>
    <t>[3] Missouri vs. [14] Cornell</t>
  </si>
  <si>
    <t>[3] Villanova vs. [14] American</t>
  </si>
  <si>
    <t>[3] Syracuse vs. [14] Stephen F. Austin</t>
  </si>
  <si>
    <t>[4] Wake Forest vs. [13] Cleveland State</t>
  </si>
  <si>
    <t>[4] Washington vs. [13] Mississippi State</t>
  </si>
  <si>
    <t>[4] Xavier vs. [13] Portland State</t>
  </si>
  <si>
    <t>[4] Gonzaga vs. [13] Akron</t>
  </si>
  <si>
    <t>[5] Illinois vs. [12] Western Kentucky</t>
  </si>
  <si>
    <t>[5] Florida State vs. [12] Wisconsin</t>
  </si>
  <si>
    <t>[5] Purdue vs. [12] Northern Iowa</t>
  </si>
  <si>
    <t>[5] Utah vs. [12] Arizona</t>
  </si>
  <si>
    <t>[6] West Virginia vs. [11] Dayton</t>
  </si>
  <si>
    <t>[6] Marquette vs. [11] Utah State</t>
  </si>
  <si>
    <t>[6] UCLA vs. [11] VCU</t>
  </si>
  <si>
    <t>[6] Arizona State vs. [11] Temple</t>
  </si>
  <si>
    <t>[7] Boston College vs. [10] USC</t>
  </si>
  <si>
    <t>[7] Cal vs. [10] Maryland</t>
  </si>
  <si>
    <t>[7] Texas vs. [10] Minnesota</t>
  </si>
  <si>
    <t>[7] Clemson vs. [10] Michigan</t>
  </si>
  <si>
    <t>[8] Ohio State vs. [9] Siena</t>
  </si>
  <si>
    <t>[8] BYU vs. [9] Texas A&amp;M</t>
  </si>
  <si>
    <t>[8] Oklahoma State vs. [9] Tennessee</t>
  </si>
  <si>
    <t>[8] LSU vs. [9] Butler</t>
  </si>
  <si>
    <t>[1] Louisville vs. [9] Siena</t>
  </si>
  <si>
    <t>[1] UConn vs. [9] Texas A&amp;M</t>
  </si>
  <si>
    <t>[1] Pitt vs. [8] Oklahoma State</t>
  </si>
  <si>
    <t>[1] UNC vs. [8] LSU</t>
  </si>
  <si>
    <t>[2] Michigan State vs. [10] USC</t>
  </si>
  <si>
    <t>[2] Memphis vs. [10] Maryland</t>
  </si>
  <si>
    <t>[2] Duke vs. [7] Texas</t>
  </si>
  <si>
    <t>[2] Oklahoma vs. [10] Michigan</t>
  </si>
  <si>
    <t>[3] Kansas vs. [11] Dayton</t>
  </si>
  <si>
    <t>[3] Missouri vs. [6] Marquette</t>
  </si>
  <si>
    <t>[3] Villanova vs. [6] UCLA</t>
  </si>
  <si>
    <t>[3] Syracuse vs. [6] Arizona State</t>
  </si>
  <si>
    <t>[4] Washington vs. [5] Purdue</t>
  </si>
  <si>
    <t>[4] Xavier vs. [12] Wisconsin</t>
  </si>
  <si>
    <t>[4] Gonzaga vs. [12] Western Kentucky</t>
  </si>
  <si>
    <t>[12] Arizona vs. [13] Cleveland State</t>
  </si>
  <si>
    <t>[1] Louisville vs. [12] Arizona</t>
  </si>
  <si>
    <t>[1] UConn vs. [5] Purdue</t>
  </si>
  <si>
    <t>[1] Pitt vs. [4] Xavier</t>
  </si>
  <si>
    <t>[1] UNC vs. [4] Gonzaga</t>
  </si>
  <si>
    <t>[2] Michigan State vs. [3] Kansas</t>
  </si>
  <si>
    <t>[2] Memphis vs. [3] Missouri</t>
  </si>
  <si>
    <t>[2] Duke vs. [3] Villanova</t>
  </si>
  <si>
    <t>[2] Oklahoma vs. [3] Syracuse</t>
  </si>
  <si>
    <t>[1] Louisville vs. [2] Michigan State</t>
  </si>
  <si>
    <t>[1] UConn vs. [3] Missouri</t>
  </si>
  <si>
    <t>[1] Pitt vs. [3] Villanova</t>
  </si>
  <si>
    <t>[1] UNC vs. [2] Oklahoma</t>
  </si>
  <si>
    <t>[1] UConn vs. [2] Michigan State</t>
  </si>
  <si>
    <t>[1] UNC vs. [3] Villanova</t>
  </si>
  <si>
    <t>[1] UNC vs. [2] Michigan State</t>
  </si>
  <si>
    <t>Stanford</t>
  </si>
  <si>
    <t>Washington State</t>
  </si>
  <si>
    <t>Drake</t>
  </si>
  <si>
    <t>Arkansas</t>
  </si>
  <si>
    <t>Kent State</t>
  </si>
  <si>
    <t>South Alabama</t>
  </si>
  <si>
    <t>St. Joseph's</t>
  </si>
  <si>
    <t>Oral Roberts</t>
  </si>
  <si>
    <t>San Diego</t>
  </si>
  <si>
    <t>Winthrop</t>
  </si>
  <si>
    <t>Cal State Fullerton</t>
  </si>
  <si>
    <t>Boise State</t>
  </si>
  <si>
    <t>UMBC</t>
  </si>
  <si>
    <t>Austin Peay</t>
  </si>
  <si>
    <t>Mount St. Mary's</t>
  </si>
  <si>
    <t>Texas-Arlington</t>
  </si>
  <si>
    <t>Mississippi Valley State</t>
  </si>
  <si>
    <t>[1] UNC vs. [16] Mount St. Mary's</t>
  </si>
  <si>
    <t>[1] Kansas vs. [16] Portland State</t>
  </si>
  <si>
    <t>[1] Memphis vs. [16] Texas-Arlington</t>
  </si>
  <si>
    <t>[1] UCLA vs. [16] Mississippi Valley State</t>
  </si>
  <si>
    <t>[2] Tennessee vs. [15] American</t>
  </si>
  <si>
    <t>[2] Georgetown vs. [15] UMBC</t>
  </si>
  <si>
    <t>[2] Texas vs. [15] Austin Peay</t>
  </si>
  <si>
    <t>[2] Duke vs. [15] Belmont</t>
  </si>
  <si>
    <t>[3] Wisconsin vs. [14] Cal State Fullerton</t>
  </si>
  <si>
    <t>[3] Stanford vs. [14] Cornell</t>
  </si>
  <si>
    <t>[3] Xavier vs. [14] Georgia</t>
  </si>
  <si>
    <t>[4] Washington State vs. [13] Winthrop</t>
  </si>
  <si>
    <t>[4] Vanderbilt vs. [13] Siena</t>
  </si>
  <si>
    <t>[4] Pitt vs. [13] Oral Roberts</t>
  </si>
  <si>
    <t>[4] UConn vs. [13] San Diego</t>
  </si>
  <si>
    <t>[5] Notre Dame vs. [12] George Mason</t>
  </si>
  <si>
    <t>[5] Clemson vs. [12] Villanova</t>
  </si>
  <si>
    <t>[5] Michigan State vs. [12] Temple</t>
  </si>
  <si>
    <t>[5] Drake vs. [12] Western Kentucky</t>
  </si>
  <si>
    <t>[6] Oklahoma vs. [11] St. Joseph's</t>
  </si>
  <si>
    <t>[6] USC vs. [11] Kansas State</t>
  </si>
  <si>
    <t>[6] Marquette vs. [11] Kentucky</t>
  </si>
  <si>
    <t>[6] Purdue vs. [11] Baylor</t>
  </si>
  <si>
    <t>[7] Butler vs. [10] South Alabama</t>
  </si>
  <si>
    <t>[7] Gonzaga vs. [10] Davidson</t>
  </si>
  <si>
    <t>[7] Miami vs. [10] St. Mary's</t>
  </si>
  <si>
    <t>[7] West Virginia vs. [10] Arizona</t>
  </si>
  <si>
    <t>[8] Indiana vs. [9] Arkansas</t>
  </si>
  <si>
    <t>[8] UNLV vs. [9] Kent State</t>
  </si>
  <si>
    <t>[8] Mississippi State vs. [9] Oregon</t>
  </si>
  <si>
    <t>[3] Louisville vs. [14] Boise State</t>
  </si>
  <si>
    <t>[1] UNC vs. [9] Arkansas</t>
  </si>
  <si>
    <t>[1] Kansas vs. [8] UNLV</t>
  </si>
  <si>
    <t>[1] Memphis vs. [8] Mississippi State</t>
  </si>
  <si>
    <t>[1] UCLA vs. [9] Texas A&amp;M</t>
  </si>
  <si>
    <t>[2] Tennessee vs. [7] Butler</t>
  </si>
  <si>
    <t>[2] Georgetown vs. [10] Davidson</t>
  </si>
  <si>
    <t>[2] Texas vs. [7] Miami</t>
  </si>
  <si>
    <t>[2] Duke vs. [7] West Virginia</t>
  </si>
  <si>
    <t>[3] Louisville vs. [6] Oklahoma</t>
  </si>
  <si>
    <t>[3] Wisconsin vs. [11] Kansas State</t>
  </si>
  <si>
    <t>[3] Stanford vs. [6] Marquette</t>
  </si>
  <si>
    <t>[3] Xavier vs. [6] Purdue</t>
  </si>
  <si>
    <t>[4] Washington State vs. [5] Notre Dame</t>
  </si>
  <si>
    <t>[4] Pitt vs. [5] Michigan State</t>
  </si>
  <si>
    <t>[12] Villanova vs. [13] Siena</t>
  </si>
  <si>
    <t>[12] Western Kentucky vs. [13] San Diego</t>
  </si>
  <si>
    <t>[1] UNC vs. [4] Washington State</t>
  </si>
  <si>
    <t>[1] Kansas vs. [12] Villanova</t>
  </si>
  <si>
    <t>[1] Memphis vs. [5] Michigan State</t>
  </si>
  <si>
    <t>[1] UCLA vs. [12] Western Kentucky</t>
  </si>
  <si>
    <t>[2] Tennessee vs. [3] Louisville</t>
  </si>
  <si>
    <t>[2] Texas vs. [3] Stanford</t>
  </si>
  <si>
    <t>[3] Wisconsin vs. [10] Davidson</t>
  </si>
  <si>
    <t>[3] Xavier vs. [7] West Virginia</t>
  </si>
  <si>
    <t>[1] UNC vs. [3] Louisville</t>
  </si>
  <si>
    <t>[1] Kansas vs. [10] Davidson</t>
  </si>
  <si>
    <t>[1] Memphis vs. [2] Texas</t>
  </si>
  <si>
    <t>[1] UCLA vs. [3] Xavier</t>
  </si>
  <si>
    <t>[1] UNC vs. [1] Kansas</t>
  </si>
  <si>
    <t>[1] Memphis vs. [1] UCLA</t>
  </si>
  <si>
    <t>Virginia Tech</t>
  </si>
  <si>
    <t>Nevada</t>
  </si>
  <si>
    <t>Texas Tech</t>
  </si>
  <si>
    <t>George Washington</t>
  </si>
  <si>
    <t>Holy Cross</t>
  </si>
  <si>
    <t>Miami (Ohio)</t>
  </si>
  <si>
    <t>Wright State</t>
  </si>
  <si>
    <t>Penn</t>
  </si>
  <si>
    <t>Texas A&amp;M-Corpus Christi</t>
  </si>
  <si>
    <t>Weber State</t>
  </si>
  <si>
    <t>Niagara</t>
  </si>
  <si>
    <t>Eastern Kentucky</t>
  </si>
  <si>
    <t>Florida A&amp;M</t>
  </si>
  <si>
    <t>Jackson State</t>
  </si>
  <si>
    <t>Central Connecticut State</t>
  </si>
  <si>
    <t>Southern Illinois</t>
  </si>
  <si>
    <t>[1] Florida vs. [16] Jackson State</t>
  </si>
  <si>
    <t>[1] Kansas vs. [16] Niagara</t>
  </si>
  <si>
    <t>[1] UNC vs. [16] Eastern Kentucky</t>
  </si>
  <si>
    <t>[2] Wisconsin vs. [15] Texas A&amp;M-Corpus Christi</t>
  </si>
  <si>
    <t>[2] UCLA vs. [15] Weber State</t>
  </si>
  <si>
    <t>[2] Georgetown vs. [15] Belmont</t>
  </si>
  <si>
    <t>[2] Memphis vs. [15] North Texas</t>
  </si>
  <si>
    <t>[3] Oregon vs. [14] Miami (Ohio)</t>
  </si>
  <si>
    <t>[4] Maryland vs. [13] Davidson</t>
  </si>
  <si>
    <t>[5] Butler vs. [12] Old Dominion</t>
  </si>
  <si>
    <t>[6] Notre Dame vs. [11] Winthrop</t>
  </si>
  <si>
    <t>[7] UNLV vs. [10] Georgia Tech</t>
  </si>
  <si>
    <t>[8] Arizona vs. [9] Purdue</t>
  </si>
  <si>
    <t>[3] Pitt vs. [14] Wright State</t>
  </si>
  <si>
    <t>[4] Southern Illinois vs. [13] Holy Cross</t>
  </si>
  <si>
    <t>[5] Virginia Tech vs. [12] Illinois</t>
  </si>
  <si>
    <t>[6] Duke vs. [11] VCU</t>
  </si>
  <si>
    <t>[7] Indiana vs. [10] Gonzaga</t>
  </si>
  <si>
    <t>[8] Kentucky vs. [9] Villanova</t>
  </si>
  <si>
    <t>[3] Washington State vs. [14] Oral Roberts</t>
  </si>
  <si>
    <t>[4] Texas vs. [13] New Mexico State</t>
  </si>
  <si>
    <t>[5] USC vs. [12] Arkansas</t>
  </si>
  <si>
    <t>[6] Vanderbilt vs. [11] George Washington</t>
  </si>
  <si>
    <t>[7] Boston College vs. [10] Texas Tech</t>
  </si>
  <si>
    <t>[8] Marquette vs. [9] Michigan State</t>
  </si>
  <si>
    <t>[3] Texas A&amp;M vs. [14] Penn</t>
  </si>
  <si>
    <t>[4] Virginia vs. [13] Albany</t>
  </si>
  <si>
    <t>[5] Tennessee vs. [12] Long Beach State</t>
  </si>
  <si>
    <t>[6] Louisville vs. [11] Stanford</t>
  </si>
  <si>
    <t>[7] Nevada vs. [10] Creighton</t>
  </si>
  <si>
    <t>[8] BYU vs. [9] Xavier</t>
  </si>
  <si>
    <t>[1] Florida vs. [9] Purdue</t>
  </si>
  <si>
    <t>[1] Kansas vs. [8] Kentucky</t>
  </si>
  <si>
    <t>[1] UNC vs. [9] Michigan State</t>
  </si>
  <si>
    <t>[1] Ohio State vs. [9] Xavier</t>
  </si>
  <si>
    <t>[2] Wisconsin vs. [7] UNLV</t>
  </si>
  <si>
    <t>[2] UCLA vs. [7] Indiana</t>
  </si>
  <si>
    <t>[2] Georgetown vs. [7] Boston College</t>
  </si>
  <si>
    <t>[2] Memphis vs. [7] Nevada</t>
  </si>
  <si>
    <t>[3] Pitt vs. [11] VCU</t>
  </si>
  <si>
    <t>[3] Oregon vs. [11] Winthrop</t>
  </si>
  <si>
    <t>[3] Washington State vs. [6] Vanderbilt</t>
  </si>
  <si>
    <t>[3] Texas A&amp;M vs. [6] Louisville</t>
  </si>
  <si>
    <t>[4] Maryland vs. [5] Butler</t>
  </si>
  <si>
    <t>[4] Southern Illinois vs. [5] Virginia Tech</t>
  </si>
  <si>
    <t>[4] Texas vs. [5] USC</t>
  </si>
  <si>
    <t>[4] Virginia vs. [5] Tennessee</t>
  </si>
  <si>
    <t>[1] Florida vs. [5] Butler</t>
  </si>
  <si>
    <t>[1] Kansas vs. [4] Southern Illinois</t>
  </si>
  <si>
    <t>[1] UNC vs. [5] USC</t>
  </si>
  <si>
    <t>[1] Ohio State vs. [5] Tennessee</t>
  </si>
  <si>
    <t>[2] UCLA vs. [3] Pitt</t>
  </si>
  <si>
    <t>[2] Georgetown vs. [6] Vanderbilt</t>
  </si>
  <si>
    <t>[2] Memphis vs. [3] Texas A&amp;M</t>
  </si>
  <si>
    <t>[3] Oregon vs. [7] UNLV</t>
  </si>
  <si>
    <t>[1] Florida vs. [3] Oregon</t>
  </si>
  <si>
    <t>[1] Kansas vs. [2] UCLA</t>
  </si>
  <si>
    <t>[1] UNC vs. [2] Georgetown</t>
  </si>
  <si>
    <t>[1] Ohio State vs. [2] Memphis</t>
  </si>
  <si>
    <t>[1] Florida vs. [2] UCLA</t>
  </si>
  <si>
    <t>[1] Ohio State vs. [2] Georgetown</t>
  </si>
  <si>
    <t>[1] Florida vs. [1] Ohio State</t>
  </si>
  <si>
    <t>Iowa</t>
  </si>
  <si>
    <t>UAB</t>
  </si>
  <si>
    <t>Seton Hall</t>
  </si>
  <si>
    <t>Wisconsin-Milwaukee</t>
  </si>
  <si>
    <t>Bradley</t>
  </si>
  <si>
    <t>Air Force</t>
  </si>
  <si>
    <t>Monmouth</t>
  </si>
  <si>
    <t>[1] Duke vs. [16] Southern</t>
  </si>
  <si>
    <t>[1] Memphis vs. [16] Oral Roberts</t>
  </si>
  <si>
    <t>[1] Villanova vs. [16] Monmouth</t>
  </si>
  <si>
    <t>[1] UConn vs. [16] Albany</t>
  </si>
  <si>
    <t>[2] Texas vs. [15] Penn</t>
  </si>
  <si>
    <t>[2] UCLA vs. [15] Belmont</t>
  </si>
  <si>
    <t>[2] Ohio State vs. [15] Davidson</t>
  </si>
  <si>
    <t>[2] Tennessee vs. [15] Winthrop</t>
  </si>
  <si>
    <t>[3] Iowa vs. [14] Northwestern State</t>
  </si>
  <si>
    <t>[3] Gonzaga vs. [14] Xavier</t>
  </si>
  <si>
    <t>[3] Florida vs. [14] South Alabama</t>
  </si>
  <si>
    <t>[3] UNC vs. [14] Murray State</t>
  </si>
  <si>
    <t>[4] LSU vs. [13] Iona</t>
  </si>
  <si>
    <t>[4] Kansas vs. [13] Bradley</t>
  </si>
  <si>
    <t>[4] Boston College vs. [13] Pacific</t>
  </si>
  <si>
    <t>[4] Illinois vs. [13] Air Force</t>
  </si>
  <si>
    <t>[5] Syracuse vs. [12] Texas A&amp;M</t>
  </si>
  <si>
    <t>[5] Pitt vs. [12] Kent State</t>
  </si>
  <si>
    <t>[5] Nevada vs. [12] Montana</t>
  </si>
  <si>
    <t>[5] Washington vs. [12] Utah State</t>
  </si>
  <si>
    <t>[6] West Virginia vs. [11] Southern Illinois</t>
  </si>
  <si>
    <t>[6] Indiana vs. [11] San Diego State</t>
  </si>
  <si>
    <t>[6] Oklahoma vs. [11] Wisconsin-Milwaukee</t>
  </si>
  <si>
    <t>[6] Michigan State vs. [11] George Mason</t>
  </si>
  <si>
    <t>[7] Cal vs. [10] N.C. State</t>
  </si>
  <si>
    <t>[7] Marquette vs. [10] Alabama</t>
  </si>
  <si>
    <t>[7] Georgetown vs. [10] Northern Iowa</t>
  </si>
  <si>
    <t>[7] Wichita State vs. [10] Seton Hall</t>
  </si>
  <si>
    <t>[8] Kentucky vs. [9] UAB</t>
  </si>
  <si>
    <t>[8] Arizona vs. [9] Wisconsin</t>
  </si>
  <si>
    <t>[8] Arkansas vs. [9] Bucknell</t>
  </si>
  <si>
    <t>[8] George Washington vs. [9] UNC-Wilmington</t>
  </si>
  <si>
    <t>[1] Duke vs. [8] George Washington</t>
  </si>
  <si>
    <t>[2] Texas vs. [10] N.C. State</t>
  </si>
  <si>
    <t>[3] Gonzaga vs. [6] Indiana</t>
  </si>
  <si>
    <t>[4] LSU vs. [12] Texas A&amp;M</t>
  </si>
  <si>
    <t>[5] Pitt vs. [13] Bradley</t>
  </si>
  <si>
    <t>[1] Memphis vs. [9] Bucknell</t>
  </si>
  <si>
    <t>[6] West Virginia vs. [14] Northwestern State</t>
  </si>
  <si>
    <t>[2] UCLA vs. [10] Alabama</t>
  </si>
  <si>
    <t>[1] Villanova vs. [8] Arizona</t>
  </si>
  <si>
    <t>[2] Ohio State vs. [7] Georgetown</t>
  </si>
  <si>
    <t>[3] Florida vs. [11] Wisconsin-Milwaukee</t>
  </si>
  <si>
    <t>[4] Boston College vs. [12] Montana</t>
  </si>
  <si>
    <t>[1] UConn vs. [8] Kentucky</t>
  </si>
  <si>
    <t>[2] Tennessee vs. [7] Wichita State</t>
  </si>
  <si>
    <t>[3] UNC vs. [11] George Mason</t>
  </si>
  <si>
    <t>[4] Illinois vs. [5] Washington</t>
  </si>
  <si>
    <t>[1] Duke vs. [4] LSU</t>
  </si>
  <si>
    <t>[1] Memphis vs. [13] Bradley</t>
  </si>
  <si>
    <t>[1] Villanova vs. [4] Boston College</t>
  </si>
  <si>
    <t>[1] UConn vs. [5] Washington</t>
  </si>
  <si>
    <t>[2] Texas vs. [6] West Virginia</t>
  </si>
  <si>
    <t>[2] UCLA vs. [3] Gonzaga</t>
  </si>
  <si>
    <t>[3] Florida vs. [7] Georgetown</t>
  </si>
  <si>
    <t>[7] Wichita State vs. [11] George Mason</t>
  </si>
  <si>
    <t>[1] Memphis vs. [2] UCLA</t>
  </si>
  <si>
    <t>[1] Villanova vs. [3] Florida</t>
  </si>
  <si>
    <t>[1] UConn vs. [11] George Mason</t>
  </si>
  <si>
    <t>[2] Texas vs. [4] LSU</t>
  </si>
  <si>
    <t>[2] UCLA vs. [4] LSU</t>
  </si>
  <si>
    <t>[3] Florida vs. [11] George Mason</t>
  </si>
  <si>
    <t>[2] UCLA vs. [3] Florida</t>
  </si>
  <si>
    <t>Charlotte</t>
  </si>
  <si>
    <t>Louisiana-Lafayette</t>
  </si>
  <si>
    <t>Southeastern Louisiana</t>
  </si>
  <si>
    <t>UCF</t>
  </si>
  <si>
    <t>Fairleigh Dickinson</t>
  </si>
  <si>
    <t>Delaware State</t>
  </si>
  <si>
    <t>[1] UNC vs. [16] Oakland</t>
  </si>
  <si>
    <t>[1] Duke vs. [16] Delaware State</t>
  </si>
  <si>
    <t>[2] UConn vs. [15] UCF</t>
  </si>
  <si>
    <t>[3] Kansas vs. [14] Bucknell</t>
  </si>
  <si>
    <t>[4] Florida vs. [13] Ohio</t>
  </si>
  <si>
    <t>[5] Villanova vs. [12] New Mexico</t>
  </si>
  <si>
    <t>[6] Wisconsin vs. [11] Northern Iowa</t>
  </si>
  <si>
    <t>[7] Charlotte vs. [10] N.C. State</t>
  </si>
  <si>
    <t>[8] Minnesota vs. [9] Iowa State</t>
  </si>
  <si>
    <t>[2] Kentucky vs. [15] Eastern Kentucky</t>
  </si>
  <si>
    <t>[3] Oklahoma vs. [14] Niagara</t>
  </si>
  <si>
    <t>[4] Syracuse vs. [13] Vermont</t>
  </si>
  <si>
    <t>[5] Michigan State vs. [12] Old Dominion</t>
  </si>
  <si>
    <t>[6] Utah vs. [11] UTEP</t>
  </si>
  <si>
    <t>[7] Cincinnati vs. [10] Iowa</t>
  </si>
  <si>
    <t>[8] Stanford vs. [9] Mississippi State</t>
  </si>
  <si>
    <t>[1] Illinois vs. [16] Fairleigh Dickinson</t>
  </si>
  <si>
    <t>[2] Oklahoma State vs. [15] Southeastern Louisiana</t>
  </si>
  <si>
    <t>[3] Arizona vs. [14] Utah State</t>
  </si>
  <si>
    <t>[4] Boston College vs. [13] Penn</t>
  </si>
  <si>
    <t>[5] Alabama vs. [12] Wisconsin-Milwaukee</t>
  </si>
  <si>
    <t>[6] LSU vs. [11] UAB</t>
  </si>
  <si>
    <t>[7] Southern Illinois vs. [10] St. Mary's</t>
  </si>
  <si>
    <t>[8] Texas vs. [9] Nevada</t>
  </si>
  <si>
    <t>[8] Pacific vs. [9] Pitt</t>
  </si>
  <si>
    <t>[1] Washington vs. [16] Montana</t>
  </si>
  <si>
    <t>[2] Wake Forest vs. [15] Chattanooga</t>
  </si>
  <si>
    <t>[3] Gonzaga vs. [14] Winthrop</t>
  </si>
  <si>
    <t>[4] Louisville vs. [13] Louisiana-Lafayette</t>
  </si>
  <si>
    <t>[5] Georgia Tech vs. [12] George Washington</t>
  </si>
  <si>
    <t>[6] Texas Tech vs. [11] UCLA</t>
  </si>
  <si>
    <t>[7] West Virginia vs. [10] Creighton</t>
  </si>
  <si>
    <t>[1] Illinois vs. [9] Nevada</t>
  </si>
  <si>
    <t>[2] Oklahoma State vs. [7] Southern Illinois</t>
  </si>
  <si>
    <t>[3] Arizona vs. [11] UAB</t>
  </si>
  <si>
    <t>[4] Boston College vs. [12] Wisconsin-Milwaukee</t>
  </si>
  <si>
    <t>[1] Washington vs. [8] Pacific</t>
  </si>
  <si>
    <t>[2] Wake Forest vs. [7] West Virginia</t>
  </si>
  <si>
    <t>[3] Gonzaga vs. [6] Texas Tech</t>
  </si>
  <si>
    <t>[4] Louisville vs. [5] Georgia Tech</t>
  </si>
  <si>
    <t>[1] UNC vs. [9] Iowa State</t>
  </si>
  <si>
    <t>[2] UConn vs. [10] N.C. State</t>
  </si>
  <si>
    <t>[4] Florida vs. [5] Villanova</t>
  </si>
  <si>
    <t>[5] Michigan State vs. [13] Vermont</t>
  </si>
  <si>
    <t>[6] Wisconsin vs. [14] Bucknell</t>
  </si>
  <si>
    <t>[1] Duke vs. [9] Mississippi State</t>
  </si>
  <si>
    <t>[2] Kentucky vs. [7] Cincinnati</t>
  </si>
  <si>
    <t>[3] Oklahoma vs. [6] Utah</t>
  </si>
  <si>
    <t>[1] Illinois vs. [12] Wisconsin-Milwaukee</t>
  </si>
  <si>
    <t>[1] Washington vs. [4] Louisville</t>
  </si>
  <si>
    <t>[1] UNC vs. [5] Villanova</t>
  </si>
  <si>
    <t>[1] Duke vs. [5] Michigan State</t>
  </si>
  <si>
    <t>[2] Oklahoma State vs. [3] Arizona</t>
  </si>
  <si>
    <t>[2] Kentucky vs. [6] Utah</t>
  </si>
  <si>
    <t>[6] Texas Tech vs. [7] West Virginia</t>
  </si>
  <si>
    <t>[6] Wisconsin vs. [10] N.C. State</t>
  </si>
  <si>
    <t>[1] Illinois vs. [3] Arizona</t>
  </si>
  <si>
    <t>[1] UNC vs. [6] Wisconsin</t>
  </si>
  <si>
    <t>[2] Kentucky vs. [5] Michigan State</t>
  </si>
  <si>
    <t>[4] Louisville vs. [7] West Virginia</t>
  </si>
  <si>
    <t>[1] Illinois vs. [4] Louisville</t>
  </si>
  <si>
    <t>[1] UNC vs. [5] Michigan State</t>
  </si>
  <si>
    <t>[1] Illinois vs. [1] UNC</t>
  </si>
  <si>
    <t>Providence</t>
  </si>
  <si>
    <t>DePaul</t>
  </si>
  <si>
    <t>South Carolina</t>
  </si>
  <si>
    <t>Western Michigan</t>
  </si>
  <si>
    <t>Manhattan</t>
  </si>
  <si>
    <t>Illinois-Chicago</t>
  </si>
  <si>
    <t>Eastern Washington</t>
  </si>
  <si>
    <t>Liberty</t>
  </si>
  <si>
    <t>Alabama State</t>
  </si>
  <si>
    <t>[1] St. Joseph's vs. [16] Liberty</t>
  </si>
  <si>
    <t>[2] Oklahoma State vs. [15] Eastern Washington</t>
  </si>
  <si>
    <t>[3] Pitt vs. [14] UCF</t>
  </si>
  <si>
    <t>[4] Wake Forest vs. [13] VCU</t>
  </si>
  <si>
    <t>[5] Florida vs. [12] Manhattan</t>
  </si>
  <si>
    <t>[6] Wisconsin vs. [11] Richmond</t>
  </si>
  <si>
    <t>[7] Memphis vs. [10] South Carolina</t>
  </si>
  <si>
    <t>[8] Texas Tech vs. [9] Charlotte</t>
  </si>
  <si>
    <t>[1] Kentucky vs. [16] Florida A&amp;M</t>
  </si>
  <si>
    <t>[2] Gonzaga vs. [15] Valparaiso</t>
  </si>
  <si>
    <t>[3] Georgia Tech vs. [14] Northern Iowa</t>
  </si>
  <si>
    <t>[4] Kansas vs. [13] Illinois-Chicago</t>
  </si>
  <si>
    <t>[5] Providence vs. [12] Pacific</t>
  </si>
  <si>
    <t>[6] Boston College vs. [11] Utah</t>
  </si>
  <si>
    <t>[7] Michigan State vs. [10] Nevada</t>
  </si>
  <si>
    <t>[8] Washington vs. [9] UAB</t>
  </si>
  <si>
    <t>[1] Duke vs. [16] Alabama State</t>
  </si>
  <si>
    <t>[2] Mississippi State vs. [15] Monmouth</t>
  </si>
  <si>
    <t>[3] Texas vs. [14] Princeton</t>
  </si>
  <si>
    <t>[4] Cincinnati vs. [13] East Tennessee State</t>
  </si>
  <si>
    <t>[5] Illinois vs. [12] Murray State</t>
  </si>
  <si>
    <t>[6] UNC vs. [11] Air Force</t>
  </si>
  <si>
    <t>[7] Xavier vs. [10] Louisville</t>
  </si>
  <si>
    <t>[8] Seton Hall vs. [9] Arizona</t>
  </si>
  <si>
    <t>[1] Stanford vs. [16] UTSA</t>
  </si>
  <si>
    <t>[2] UConn vs. [15] Vermont</t>
  </si>
  <si>
    <t>[3] N.C. State vs. [14] Louisiana-Lafayette</t>
  </si>
  <si>
    <t>[4] Maryland vs. [13] UTEP</t>
  </si>
  <si>
    <t>[5] Syracuse vs. [12] BYU</t>
  </si>
  <si>
    <t>[6] Vanderbilt vs. [11] Western Michigan</t>
  </si>
  <si>
    <t>[7] DePaul vs. [10] Dayton</t>
  </si>
  <si>
    <t>[8] Alabama vs. [9] Southern Illinois</t>
  </si>
  <si>
    <t>[1] St. Joseph's vs. [8] Texas Tech</t>
  </si>
  <si>
    <t>[2] Oklahoma State vs. [7] Memphis</t>
  </si>
  <si>
    <t>[3] Pitt vs. [6] Wisconsin</t>
  </si>
  <si>
    <t>[4] Wake Forest vs. [12] Manhattan</t>
  </si>
  <si>
    <t>[1] Kentucky vs. [9] UAB</t>
  </si>
  <si>
    <t>[2] Gonzaga vs. [10] Nevada</t>
  </si>
  <si>
    <t>[3] Georgia Tech vs. [6] Boston College</t>
  </si>
  <si>
    <t>[4] Kansas vs. [12] Pacific</t>
  </si>
  <si>
    <t>[1] Duke vs. [8] Seton Hall</t>
  </si>
  <si>
    <t>[2] Mississippi State vs. [7] Xavier</t>
  </si>
  <si>
    <t>[3] Texas vs. [6] UNC</t>
  </si>
  <si>
    <t>[4] Cincinnati vs. [5] Illinois</t>
  </si>
  <si>
    <t>[4] Maryland vs. [5] Syracuse</t>
  </si>
  <si>
    <t>[1] Stanford vs. [8] Alabama</t>
  </si>
  <si>
    <t>[2] UConn vs. [7] DePaul</t>
  </si>
  <si>
    <t>[3] N.C. State vs. [6] Vanderbilt</t>
  </si>
  <si>
    <t>[1] St. Joseph's vs. [4] Wake Forest</t>
  </si>
  <si>
    <t>[1] Duke vs. [5] Illinois</t>
  </si>
  <si>
    <t>[2] Oklahoma State vs. [3] Pitt</t>
  </si>
  <si>
    <t>[2] UConn vs. [6] Vanderbilt</t>
  </si>
  <si>
    <t>[3] Georgia Tech vs. [10] Nevada</t>
  </si>
  <si>
    <t>[3] Texas vs. [7] Xavier</t>
  </si>
  <si>
    <t>[4] Kansas vs. [9] UAB</t>
  </si>
  <si>
    <t>[5] Syracuse vs. [8] Alabama</t>
  </si>
  <si>
    <t>[1] St. Joseph's vs. [2] Oklahoma State</t>
  </si>
  <si>
    <t>[1] Duke vs. [7] Xavier</t>
  </si>
  <si>
    <t>[2] UConn vs. [8] Alabama</t>
  </si>
  <si>
    <t>[3] Georgia Tech vs. [4] Kansas</t>
  </si>
  <si>
    <t>[1] Duke vs. [2] UConn</t>
  </si>
  <si>
    <t>[2] Oklahoma State vs. [3] Georgia Tech</t>
  </si>
  <si>
    <t>[2] UConn vs. [3] Georgia Tech</t>
  </si>
  <si>
    <t>Auburn</t>
  </si>
  <si>
    <t>Central Michigan</t>
  </si>
  <si>
    <t>Tulsa</t>
  </si>
  <si>
    <t>Wagner</t>
  </si>
  <si>
    <t>IUPUI</t>
  </si>
  <si>
    <t>South Carolina State</t>
  </si>
  <si>
    <t>[1] Oklahoma vs. [16] South Carolina State</t>
  </si>
  <si>
    <t>[2] Wake Forest vs. [15] East Tennessee State</t>
  </si>
  <si>
    <t>[3] Syracuse vs. [14] Manhattan</t>
  </si>
  <si>
    <t>[4] Louisville vs. [13] Austin Peay</t>
  </si>
  <si>
    <t>[5] Mississippi State vs. [12] Butler</t>
  </si>
  <si>
    <t>[6] Oklahoma State vs. [11] Penn</t>
  </si>
  <si>
    <t>[7] St. Joseph's vs. [10] Auburn</t>
  </si>
  <si>
    <t>[8] Cal vs. [9] N.C. State</t>
  </si>
  <si>
    <t>[1] Texas vs. [16] UNC-Asheville</t>
  </si>
  <si>
    <t>[2] Florida vs. [15] Sam Houston State</t>
  </si>
  <si>
    <t>[4] Stanford vs. [13] San Diego</t>
  </si>
  <si>
    <t>[5] UConn vs. [12] BYU</t>
  </si>
  <si>
    <t>[6] Maryland vs. [11] UNC-Wilmington</t>
  </si>
  <si>
    <t>[7] Michigan State vs. [10] Colorado</t>
  </si>
  <si>
    <t>[8] LSU vs. [9] Purdue</t>
  </si>
  <si>
    <t>[1] Kentucky vs. [16] IUPUI</t>
  </si>
  <si>
    <t>[2] Pitt vs. [15] Wagner</t>
  </si>
  <si>
    <t>[3] Marquette vs. [14] Holy Cross</t>
  </si>
  <si>
    <t>[4] Dayton vs. [13] Tulsa</t>
  </si>
  <si>
    <t>[5] Wisconsin vs. [12] Weber State</t>
  </si>
  <si>
    <t>[6] Missouri vs. [11] Southern Illinois</t>
  </si>
  <si>
    <t>[7] Indiana vs. [10] Alabama</t>
  </si>
  <si>
    <t>[8] Oregon vs. [9] Utah</t>
  </si>
  <si>
    <t>[1] Arizona vs. [16] Vermont</t>
  </si>
  <si>
    <t>[2] Kansas vs. [15] Utah State</t>
  </si>
  <si>
    <t>[3] Duke vs. [14] Colorado State</t>
  </si>
  <si>
    <t>[4] Illinois vs. [13] Western Kentucky</t>
  </si>
  <si>
    <t>[5] Notre Dame vs. [12] Wisconsin-Milwaukee</t>
  </si>
  <si>
    <t>[6] Creighton vs. [11] Central Michigan</t>
  </si>
  <si>
    <t>[7] Memphis vs. [10] Arizona State</t>
  </si>
  <si>
    <t>[8] Cincinnati vs. [9] Gonzaga</t>
  </si>
  <si>
    <t>[1] Oklahoma vs. [8] Cal</t>
  </si>
  <si>
    <t>[2] Wake Forest vs. [10] Auburn</t>
  </si>
  <si>
    <t>[3] Syracuse vs. [6] Oklahoma State</t>
  </si>
  <si>
    <t>[4] Louisville vs. [12] Butler</t>
  </si>
  <si>
    <t>[1] Oklahoma vs. [12] Butler</t>
  </si>
  <si>
    <t>[1] Texas vs. [5] UConn</t>
  </si>
  <si>
    <t>[2] Pitt vs. [3] Marquette</t>
  </si>
  <si>
    <t>[2] Florida vs. [7] Michigan State</t>
  </si>
  <si>
    <t>[3] Xavier vs. [6] Maryland</t>
  </si>
  <si>
    <t>[4] Stanford vs. [5] UConn</t>
  </si>
  <si>
    <t>[1] Texas vs. [9] Purdue</t>
  </si>
  <si>
    <t>[1] Kentucky vs. [9] Utah</t>
  </si>
  <si>
    <t>[2] Pitt vs. [7] Indiana</t>
  </si>
  <si>
    <t>[3] Marquette vs. [6] Missouri</t>
  </si>
  <si>
    <t>[5] Wisconsin vs. [13] Tulsa</t>
  </si>
  <si>
    <t>[4] Illinois vs. [5] Notre Dame</t>
  </si>
  <si>
    <t>[1] Kentucky vs. [5] Wisconsin</t>
  </si>
  <si>
    <t>[1] Arizona vs. [5] Notre Dame</t>
  </si>
  <si>
    <t>[1] Arizona vs. [9] Gonzaga</t>
  </si>
  <si>
    <t>[2] Kansas vs. [10] Arizona State</t>
  </si>
  <si>
    <t>[3] Duke vs. [11] Central Michigan</t>
  </si>
  <si>
    <t>[2] Kansas vs. [3] Duke</t>
  </si>
  <si>
    <t>[3] Syracuse vs. [10] Auburn</t>
  </si>
  <si>
    <t>[6] Maryland vs. [7] Michigan State</t>
  </si>
  <si>
    <t>[1] Oklahoma vs. [3] Syracuse</t>
  </si>
  <si>
    <t>[1] Texas vs. [7] Michigan State</t>
  </si>
  <si>
    <t>[1] Kentucky vs. [3] Marquette</t>
  </si>
  <si>
    <t>[1] Arizona vs. [2] Kansas</t>
  </si>
  <si>
    <t>[1] Texas vs. [3] Syracuse</t>
  </si>
  <si>
    <t>[2] Kansas vs. [3] Marquette</t>
  </si>
  <si>
    <t>[2] Kansas vs. [3] Syracuse</t>
  </si>
  <si>
    <t>[1] Louisville vs. [4] Michigan</t>
  </si>
  <si>
    <t>UMass</t>
  </si>
  <si>
    <t>Nebraska</t>
  </si>
  <si>
    <t>Delaware</t>
  </si>
  <si>
    <t>North Carolina Central</t>
  </si>
  <si>
    <t>Mercer</t>
  </si>
  <si>
    <t>UW-Milwaukee</t>
  </si>
  <si>
    <t>UL-Lafayette</t>
  </si>
  <si>
    <t>Cal Poly</t>
  </si>
  <si>
    <t>Coastal Carolina</t>
  </si>
  <si>
    <t>Troy</t>
  </si>
  <si>
    <t>[8] Colorado vs. [9] Pitt</t>
  </si>
  <si>
    <t>[5] VCU vs. [12] Stephen F. Austin</t>
  </si>
  <si>
    <t>[4] UCLA vs. [13] Tulsa</t>
  </si>
  <si>
    <t>[6] Ohio State vs. [11] Dayton</t>
  </si>
  <si>
    <t>[3] Syracuse vs. [14] Western Michigan</t>
  </si>
  <si>
    <t>[7] New Mexico vs. [10] Stanford</t>
  </si>
  <si>
    <t>[2] Kansas vs. [15] Eastern Kentucky</t>
  </si>
  <si>
    <t>[1] Virginia vs. [16] Coastal Carolina</t>
  </si>
  <si>
    <t>[2] Villanova vs. [15] UW-Milwaukee</t>
  </si>
  <si>
    <t>[3] Iowa State vs. [14] North Carolina Central</t>
  </si>
  <si>
    <t>[4] Michigan State vs. [13] Delaware</t>
  </si>
  <si>
    <t>[5] Cincinnati vs. [12] Harvard</t>
  </si>
  <si>
    <t>[6] UNC vs. [11] Providence</t>
  </si>
  <si>
    <t>[7] UConn vs. [10] St. Joseph's</t>
  </si>
  <si>
    <t>[8] Memphis vs. [9] George Washington</t>
  </si>
  <si>
    <t>[1] Arizona vs. [16] Weber State</t>
  </si>
  <si>
    <t>[2] Wisconsin vs. [15] American</t>
  </si>
  <si>
    <t>[3] Creighton vs. [14] UL-Lafayette</t>
  </si>
  <si>
    <t>[4] San Diego State vs. [13] New Mexico State</t>
  </si>
  <si>
    <t>[5] Oklahoma vs. [12] North Dakota State</t>
  </si>
  <si>
    <t>[6] Baylor vs. [11] Nebraska</t>
  </si>
  <si>
    <t>[7] Oregon vs. [10] BYU</t>
  </si>
  <si>
    <t>[8] Gonzaga vs. [9] Oklahoma State</t>
  </si>
  <si>
    <t>[2] Michigan vs. [15] Wofford</t>
  </si>
  <si>
    <t>[3] Duke vs. [14] Mercer</t>
  </si>
  <si>
    <t>[4] Louisville vs. [13] Manhattan</t>
  </si>
  <si>
    <t>[8] Kentucky vs. [9] Kansas State</t>
  </si>
  <si>
    <t>[1] Florida vs. [16] Albany</t>
  </si>
  <si>
    <t>[1] Wichita State vs. [16] Cal Poly</t>
  </si>
  <si>
    <t>[5] Saint Louis vs. [12] N.C. State</t>
  </si>
  <si>
    <t>[6] UMass vs. [11] Tennessee</t>
  </si>
  <si>
    <t>[2] Kansas vs. [10] Stanford</t>
  </si>
  <si>
    <t>[3] Syracuse vs. [11] Dayton</t>
  </si>
  <si>
    <t>[4] UCLA vs. [12] Stephen F. Austin</t>
  </si>
  <si>
    <t>[1] Virginia vs. [8] Memphis</t>
  </si>
  <si>
    <t>[2] Villanova vs. [7] UConn</t>
  </si>
  <si>
    <t>[4] Michigan State vs. [12] Harvard</t>
  </si>
  <si>
    <t>[1] Arizona vs. [8] Gonzaga</t>
  </si>
  <si>
    <t>[2] Wisconsin vs. [7] Oregon</t>
  </si>
  <si>
    <t>[3] Creighton vs. [6] Baylor</t>
  </si>
  <si>
    <t>[4] San Diego State vs. [12] North Dakota State</t>
  </si>
  <si>
    <t>[1] Wichita State vs. [8] Kentucky</t>
  </si>
  <si>
    <t>[2] Michigan vs. [7] Texas</t>
  </si>
  <si>
    <t>[4] Louisville vs. [5] Saint Louis</t>
  </si>
  <si>
    <t>[11] Tennessee vs. [14] Mercer</t>
  </si>
  <si>
    <t>[3] Iowa State vs. [6] UNC</t>
  </si>
  <si>
    <t>[1] Florida vs. [4] UCLA</t>
  </si>
  <si>
    <t>[10] Stanford vs. [11] Dayton</t>
  </si>
  <si>
    <t>[1] Virginia vs. [4] Michigan State</t>
  </si>
  <si>
    <t>[3] Iowa State vs. [7] UConn</t>
  </si>
  <si>
    <t>[1] Arizona vs. [4] San Diego State</t>
  </si>
  <si>
    <t>[2] Wisconsin vs. [6] Baylor</t>
  </si>
  <si>
    <t>[2] Michigan vs. [11] Tennessee</t>
  </si>
  <si>
    <t>[4] Louisville vs. [8] Kentucky</t>
  </si>
  <si>
    <t>[1] Florida vs. [11] Dayton</t>
  </si>
  <si>
    <t>[1] Arizona vs. [2] Wisconsin</t>
  </si>
  <si>
    <t>[2] Michigan vs. [8] Kentucky</t>
  </si>
  <si>
    <t>[4] Michigan State vs. [7] UConn</t>
  </si>
  <si>
    <t>[7] UConn vs. [8] Kentucky</t>
  </si>
  <si>
    <t>[1] Florida vs. [7] UConn</t>
  </si>
  <si>
    <t>[2] Wisconsin vs. [8] Kentucky</t>
  </si>
  <si>
    <t>SMU</t>
  </si>
  <si>
    <t>Buffalo</t>
  </si>
  <si>
    <t>Wyoming</t>
  </si>
  <si>
    <t>Northeastern</t>
  </si>
  <si>
    <t>Georgia State</t>
  </si>
  <si>
    <t>Texas Southern</t>
  </si>
  <si>
    <t>Lafayette</t>
  </si>
  <si>
    <t>Round</t>
  </si>
  <si>
    <t>[2] Kansas vs. [15] New Mexico State</t>
  </si>
  <si>
    <t>[3] Notre Dame vs. [14] Northeastern</t>
  </si>
  <si>
    <t>[4] Maryland vs. [13] Valparaiso</t>
  </si>
  <si>
    <t>[5] West Virginia vs. [12] Buffalo</t>
  </si>
  <si>
    <t>[6] Butler vs. [11] Texas</t>
  </si>
  <si>
    <t>[7] Wichita State vs. [10] Indiana</t>
  </si>
  <si>
    <t>[8] Cincinnati vs. [9] Purdue</t>
  </si>
  <si>
    <t>[1] Wisconsin vs. [16] Coastal Carolina</t>
  </si>
  <si>
    <t>[2] Arizona vs. [15] Texas Southern</t>
  </si>
  <si>
    <t>[3] Baylor vs. [14] Georgia State</t>
  </si>
  <si>
    <t>[4] UNC vs. [13] Harvard</t>
  </si>
  <si>
    <t>[5] Arkansas vs. [12] Wofford</t>
  </si>
  <si>
    <t>[7] VCU vs. [10] Ohio State</t>
  </si>
  <si>
    <t>[8] Oregon vs. [9] Oklahoma State</t>
  </si>
  <si>
    <t>[1] Villanova vs. [16] Lafayette</t>
  </si>
  <si>
    <t>[2] Virginia vs. [15] Belmont</t>
  </si>
  <si>
    <t>[3] Oklahoma vs. [14] Albany</t>
  </si>
  <si>
    <t>[5] Northern Iowa vs. [12] Wyoming</t>
  </si>
  <si>
    <t>[7] Michigan State vs. [10] Georgia</t>
  </si>
  <si>
    <t>[8] N.C. State vs. [9] LSU</t>
  </si>
  <si>
    <t>[2] Gonzaga vs. [15] North Dakota State</t>
  </si>
  <si>
    <t>[3] Iowa State vs. [14] UAB</t>
  </si>
  <si>
    <t>[4] Georgetown vs. [13] Eastern Washington</t>
  </si>
  <si>
    <t>[5] Utah vs. [12] Stephen F. Austin</t>
  </si>
  <si>
    <t>[6] SMU vs. [11] UCLA</t>
  </si>
  <si>
    <t>[7] Iowa vs. [10] Davidson</t>
  </si>
  <si>
    <t>[8] San Diego State vs. [9] St. John's</t>
  </si>
  <si>
    <t>[1] Ohio State vs. [16] Central Connecticut State</t>
  </si>
  <si>
    <t>[1] Kentucky vs. [16] Hampton</t>
  </si>
  <si>
    <t>[1] Duke vs. [16] Robert Morris</t>
  </si>
  <si>
    <t>[6] Providence vs. [11] Dayton</t>
  </si>
  <si>
    <t>[6] Xavier vs. [11] Ole Miss</t>
  </si>
  <si>
    <t>[1] Duke vs. [8] San Diego State</t>
  </si>
  <si>
    <t>[4] Georgetown vs. [5] Utah</t>
  </si>
  <si>
    <t>[11] UCLA vs. [14] UAB</t>
  </si>
  <si>
    <t>[2] Gonzaga vs. [7] Iowa</t>
  </si>
  <si>
    <t>[1] Villanova vs. [8] N.C. State</t>
  </si>
  <si>
    <t>[4] Louisville vs. [5] Northern Iowa</t>
  </si>
  <si>
    <t>[3] Oklahoma vs. [11] Dayton</t>
  </si>
  <si>
    <t>[2] Virginia vs. [7] Michigan State</t>
  </si>
  <si>
    <t>[1] Wisconsin vs. [8] Oregon</t>
  </si>
  <si>
    <t>[4] UNC vs. [5] Arkansas</t>
  </si>
  <si>
    <t>[6] Xavier vs. [14] Georgia State</t>
  </si>
  <si>
    <t>[2] Arizona vs. [10] Ohio State</t>
  </si>
  <si>
    <t>[1] Kentucky vs. [8] Cincinnati</t>
  </si>
  <si>
    <t>[4] Maryland vs. [5] West Virginia</t>
  </si>
  <si>
    <t>[3] Notre Dame vs. [6] Butler</t>
  </si>
  <si>
    <t>[2] Kansas vs. [7] Wichita State</t>
  </si>
  <si>
    <t>[1] Kentucky vs. [5] West Virginia</t>
  </si>
  <si>
    <t>[3] Notre Dame vs. [7] Wichita State</t>
  </si>
  <si>
    <t>[1] Wisconsin vs. [4] UNC</t>
  </si>
  <si>
    <t>[2] Arizona vs. [6] Xavier</t>
  </si>
  <si>
    <t>[3] Oklahoma vs. [7] Michigan State</t>
  </si>
  <si>
    <t>[1] Duke vs. [5] Utah</t>
  </si>
  <si>
    <t>[2] Gonzaga vs. [11] UCLA</t>
  </si>
  <si>
    <t>[4] Louisville vs. [8] N.C. State</t>
  </si>
  <si>
    <t>[1] Kentucky vs. [3] Notre Dame</t>
  </si>
  <si>
    <t>[1] Wisconsin vs. [2] Arizona</t>
  </si>
  <si>
    <t>[4] Louisville vs. [7] Michigan State</t>
  </si>
  <si>
    <t>[1] Duke vs. [2] Gonzaga</t>
  </si>
  <si>
    <t>[1] Kentucky vs. [1] Wisconsin</t>
  </si>
  <si>
    <t>[1] Duke vs. [7] Michigan State</t>
  </si>
  <si>
    <t>[1] Kansas vs. [16] Austin Peay</t>
  </si>
  <si>
    <t>[2] Villanova vs. [15] UNC-Asheville</t>
  </si>
  <si>
    <t>[2] Oklahoma vs. [15] CSU Bakersfield</t>
  </si>
  <si>
    <t>[3] Miami vs. [14] Buffalo</t>
  </si>
  <si>
    <t>[3] Texas A&amp;M vs. [14] Green Bay</t>
  </si>
  <si>
    <t>[4] Duke vs. [13] UNC Wilmington</t>
  </si>
  <si>
    <t>[5] Maryland vs. [12] South Dakota State</t>
  </si>
  <si>
    <t>[5] Baylor vs. [12] Yale</t>
  </si>
  <si>
    <t>[6] Texas vs. [11] Northern Iowa</t>
  </si>
  <si>
    <t>[7] Iowa vs. [10] Temple</t>
  </si>
  <si>
    <t>[7] Oregon State vs. [10] VCU</t>
  </si>
  <si>
    <t>[8] Colorado vs. [9] UConn</t>
  </si>
  <si>
    <t>[8] St. Joseph's vs. [9] Cincinnati</t>
  </si>
  <si>
    <t>[1] Virginia vs. [16] Hampton</t>
  </si>
  <si>
    <t>[2] Xavier vs. [15] Weber State</t>
  </si>
  <si>
    <t>[2] Michigan State vs. [15] Middle Tennessee State</t>
  </si>
  <si>
    <t>[3] West Virginia vs. [14] Stephen F. Austin</t>
  </si>
  <si>
    <t>[3] Utah vs. [14] Fresno State</t>
  </si>
  <si>
    <t>[4] Kentucky vs. [13] Stony Brook</t>
  </si>
  <si>
    <t>[4] Iowa State vs. [13] Iona</t>
  </si>
  <si>
    <t>[5] Purdue vs. [12] Arkansas-Little Rock</t>
  </si>
  <si>
    <t>[5] Indiana vs. [12] Chattanooga</t>
  </si>
  <si>
    <t>[6] Seton Hall vs. [11] Gonzaga</t>
  </si>
  <si>
    <t>[1] Florida vs. [9] Pitt</t>
  </si>
  <si>
    <t>[7] Wisconsin vs. [10] Pitt</t>
  </si>
  <si>
    <t>[7] Dayton vs. [10] Syracuse</t>
  </si>
  <si>
    <t>[8] USC vs. [9] Providence</t>
  </si>
  <si>
    <t>[8] Texas Tech vs. [9] Butler</t>
  </si>
  <si>
    <t>Oregon State</t>
  </si>
  <si>
    <t>Yale</t>
  </si>
  <si>
    <t>Arkansas-Little Rock</t>
  </si>
  <si>
    <t>UNC Wilmington</t>
  </si>
  <si>
    <t>Hawaii</t>
  </si>
  <si>
    <t>[4] Cal vs. [13] Hawaii</t>
  </si>
  <si>
    <t>Stony Brook</t>
  </si>
  <si>
    <t>Green Bay</t>
  </si>
  <si>
    <t>Fresno State</t>
  </si>
  <si>
    <t>CSU Bakersfield</t>
  </si>
  <si>
    <t>Middle Tennessee State</t>
  </si>
  <si>
    <t>[1] UNC vs. [16] Florida Gulf Coast</t>
  </si>
  <si>
    <t>[6] Arizona vs. [11] Wichita State</t>
  </si>
  <si>
    <t>Pepperdine</t>
  </si>
  <si>
    <t>McNeese State</t>
  </si>
  <si>
    <t>Florida Atlantic</t>
  </si>
  <si>
    <t>UC Santa Barbara</t>
  </si>
  <si>
    <t>[1] Maryland vs. [16] Siena</t>
  </si>
  <si>
    <t>[2] UConn vs. [15] Hampton</t>
  </si>
  <si>
    <t>[3] Georgia vs. [14] Murray State</t>
  </si>
  <si>
    <t>[4] Kentucky vs. [13] Valparaiso</t>
  </si>
  <si>
    <t>[5] Marquette vs. [12] Tulsa</t>
  </si>
  <si>
    <t>[6] Texas Tech vs. [11] Southern Illinois</t>
  </si>
  <si>
    <t>[7] N.C. State vs. [10] Michigan State</t>
  </si>
  <si>
    <t>[8] Wisconsin vs. [9] St. John's</t>
  </si>
  <si>
    <t>[1] Kansas vs. [16] Holy Cross</t>
  </si>
  <si>
    <t>[2] Oregon vs. [15] Montana</t>
  </si>
  <si>
    <t>[3] Mississippi State vs. [14] McNeese State</t>
  </si>
  <si>
    <t>[4] Illinois vs. [13] San Diego State</t>
  </si>
  <si>
    <t>[5] Florida vs. [12] Creighton</t>
  </si>
  <si>
    <t>[6] Texas vs. [11] Boston College</t>
  </si>
  <si>
    <t>[7] Wake Forest vs. [10] Pepperdine</t>
  </si>
  <si>
    <t>[8] Stanford vs. [9] Western Kentucky</t>
  </si>
  <si>
    <t>[1] Duke vs. [16] Winthrop</t>
  </si>
  <si>
    <t>[2] Alabama vs. [15] Florida Atlantic</t>
  </si>
  <si>
    <t>[3] Pitt vs. [14] Central Connecticut State</t>
  </si>
  <si>
    <t>[4] USC vs. [13] UNC Wilmington</t>
  </si>
  <si>
    <t>[5] Indiana vs. [12] Utah</t>
  </si>
  <si>
    <t>[6] Cal vs. [11] Penn</t>
  </si>
  <si>
    <t>[7] Oklahoma State vs. [10] Kent State</t>
  </si>
  <si>
    <t>[8] Notre Dame vs. [9] Charlotte</t>
  </si>
  <si>
    <t>[1] Cincinnati vs. [16] Boston University</t>
  </si>
  <si>
    <t>[2] Oklahoma vs. [15] Illinois-Chicago</t>
  </si>
  <si>
    <t>[3] Arizona vs. [14] UC-Santa Barbara</t>
  </si>
  <si>
    <t>[4] Ohio State vs. [13] Davidson</t>
  </si>
  <si>
    <t>[5] Miami vs. [12] Missouri</t>
  </si>
  <si>
    <t>[6] Gonzaga vs. [11] Wyoming</t>
  </si>
  <si>
    <t>[7] Xavier vs. [10] Hawaii</t>
  </si>
  <si>
    <t>[8] UCLA vs. [9] Ole Miss</t>
  </si>
  <si>
    <t>[1] Maryland vs. [8] Wisconsin</t>
  </si>
  <si>
    <t>[4] Kentucky vs. [12] Tulsa</t>
  </si>
  <si>
    <t>[3] Georgia vs. [11] Southern Illinois</t>
  </si>
  <si>
    <t>[1] Kansas vs. [8] Stanford</t>
  </si>
  <si>
    <t>[4] Illinois vs. [12] Creighton</t>
  </si>
  <si>
    <t>[3] Mississippi State vs. [6] Texas</t>
  </si>
  <si>
    <t>[2] Oregon vs. [7] Wake Forest</t>
  </si>
  <si>
    <t>[1] Duke vs. [8] Notre Dame</t>
  </si>
  <si>
    <t>[5] Indiana vs. [13] UNC Wilmington</t>
  </si>
  <si>
    <t>[3] Pitt vs. [6] Cal</t>
  </si>
  <si>
    <t>[2] Alabama vs. [10] Kent State</t>
  </si>
  <si>
    <t>[1] Cincinnati vs. [8] UCLA</t>
  </si>
  <si>
    <t>[4] Ohio State vs. [12] Missouri</t>
  </si>
  <si>
    <t>[3] Arizona vs. [11] Wyoming</t>
  </si>
  <si>
    <t>[2] Oklahoma vs. [7] Xavier</t>
  </si>
  <si>
    <t>[2] UConn vs. [7] N.C. State</t>
  </si>
  <si>
    <t>[1] Maryland vs. [4] Kentucky</t>
  </si>
  <si>
    <t>[2] UConn vs. [11] Southern Illinois</t>
  </si>
  <si>
    <t>[1] Kansas vs. [4] Illinois</t>
  </si>
  <si>
    <t>[2] Oregon vs. [6] Texas</t>
  </si>
  <si>
    <t>[1] Duke vs. [5] Indiana</t>
  </si>
  <si>
    <t>[3] Pitt vs. [10] Kent State</t>
  </si>
  <si>
    <t>[8] UCLA vs. [12] Missouri</t>
  </si>
  <si>
    <t>[2] Oklahoma vs. [3] Arizona</t>
  </si>
  <si>
    <t>[1] Maryland vs. [2] UConn</t>
  </si>
  <si>
    <t>[1] Kansas vs. [2] Oregon</t>
  </si>
  <si>
    <t>[5] Indiana vs. [10] Kent State</t>
  </si>
  <si>
    <t>[2] Oklahoma vs. [12] Missouri</t>
  </si>
  <si>
    <t>[1] Maryland vs. [1] Kansas</t>
  </si>
  <si>
    <t>[2] Oklahoma vs. [5] Indiana</t>
  </si>
  <si>
    <t>[1] Maryland vs. [5] Indiana</t>
  </si>
  <si>
    <t>[1] Oregon vs. [16] Holy Cross</t>
  </si>
  <si>
    <t>[6] Notre Dame vs. [11] Michigan</t>
  </si>
  <si>
    <t>[1] Kansas vs. [9] UConn</t>
  </si>
  <si>
    <t>[5] Maryland vs. [13] Hawaii</t>
  </si>
  <si>
    <t>[3] Miami vs. [11] Wichita State</t>
  </si>
  <si>
    <t>[2] Villanova vs. [7] Iowa</t>
  </si>
  <si>
    <t>[1] Oregon vs. [8] St. Joseph's</t>
  </si>
  <si>
    <t>[4] Duke vs. [12] Yale</t>
  </si>
  <si>
    <t>[3] Texas A&amp;M vs. [11] Northern Iowa</t>
  </si>
  <si>
    <t>[2] Oklahoma vs. [10] VCU</t>
  </si>
  <si>
    <t>[4] Kentucky vs. [5] Indiana</t>
  </si>
  <si>
    <t>[6] Notre Dame vs. [14] Stephen F. Austin</t>
  </si>
  <si>
    <t>[2] Xavier vs. [7] Wisconsin</t>
  </si>
  <si>
    <t>[1] Virginia vs. [9] Butler</t>
  </si>
  <si>
    <t>[4] Iowa State vs. [12] Arkansas-Little Rock</t>
  </si>
  <si>
    <t>[3] Utah vs. [11] Gonzaga</t>
  </si>
  <si>
    <t>[10] Syracuse vs. [15] Middle Tennessee State</t>
  </si>
  <si>
    <t>[1] UNC vs. [9] Providence</t>
  </si>
  <si>
    <t>[1] Oregon vs. [4] Duke</t>
  </si>
  <si>
    <t>[2] Oklahoma vs. [3] Texas A&amp;M</t>
  </si>
  <si>
    <t>[1] Kansas vs. [5] Maryland</t>
  </si>
  <si>
    <t>[2] Villanova vs. [3] Miami</t>
  </si>
  <si>
    <t>[1] UNC vs. [5] Indiana</t>
  </si>
  <si>
    <t>[6] Notre Dame vs. [7] Wisconsin</t>
  </si>
  <si>
    <t>[1] Virginia vs. [4] Iowa State</t>
  </si>
  <si>
    <t>[10] Syracuse vs. [11] Gonzaga</t>
  </si>
  <si>
    <t>[1] Kansas vs. [2] Villanova</t>
  </si>
  <si>
    <t>[1] Oregon vs. [2] Oklahoma</t>
  </si>
  <si>
    <t>[1] UNC vs. [6] Notre Dame</t>
  </si>
  <si>
    <t>[1] Virginia vs. [10] Syracuse</t>
  </si>
  <si>
    <t>[1] UNC vs. [10] Syracuse</t>
  </si>
  <si>
    <t>[1] UNC vs. [2] Villanova</t>
  </si>
  <si>
    <t>NCSOS AdjEM</t>
  </si>
  <si>
    <t>NCSOS Adv.</t>
  </si>
  <si>
    <t>AdjEM</t>
  </si>
  <si>
    <t>AdjEM Adv.</t>
  </si>
  <si>
    <t>[7] Texas vs. [10] Arizona State</t>
  </si>
  <si>
    <t>Rhode Island</t>
  </si>
  <si>
    <t>Northwestern</t>
  </si>
  <si>
    <t>UC Davis</t>
  </si>
  <si>
    <t>UC Irvine</t>
  </si>
  <si>
    <t>North Dakota</t>
  </si>
  <si>
    <t>Northern Kentucky</t>
  </si>
  <si>
    <t>Jacksonville State</t>
  </si>
  <si>
    <t>[4] Louisville vs. [13] UC Irvine</t>
  </si>
  <si>
    <t>LIU Brooklyn</t>
  </si>
  <si>
    <t>[1] Michigan State vs. [16] LIU Brooklyn</t>
  </si>
  <si>
    <t>[2] UNC vs. [15] LIU Brooklyn</t>
  </si>
  <si>
    <t>[4] Kentucky vs. [5] West Virginia</t>
  </si>
  <si>
    <t>Survive</t>
  </si>
  <si>
    <t>[3] Xavier vs. [14] Troy</t>
  </si>
  <si>
    <t>[1] Gonzaga vs. [16] South Dakota State</t>
  </si>
  <si>
    <t>[1] UNC vs. [16] Texas Southern</t>
  </si>
  <si>
    <t>[2] Duke vs. [15] Troy</t>
  </si>
  <si>
    <t>[3] Baylor vs. [14] New Mexico State</t>
  </si>
  <si>
    <t>[4] Florida vs. [13] East Tennessee State</t>
  </si>
  <si>
    <t>[5] Virginia vs. [12] UNC Wilmington</t>
  </si>
  <si>
    <t>[7] South Carolina vs. [10] Marquette</t>
  </si>
  <si>
    <t>[8] Wisconsin vs. [9] Virginia Tech</t>
  </si>
  <si>
    <t>[2] Arizona vs. [15] North Dakota</t>
  </si>
  <si>
    <t>[3] Florida State vs. [14] Florida Gulf Coast</t>
  </si>
  <si>
    <t>[4] West Virginia vs. [13] Bucknell</t>
  </si>
  <si>
    <t>[5] Notre Dame vs. [12] Princeton</t>
  </si>
  <si>
    <t>[6] Maryland vs. [11] Xavier</t>
  </si>
  <si>
    <t>[7] St. Mary's vs. [10] VCU</t>
  </si>
  <si>
    <t>[8] Northwestern vs. [9] Vanderbilt</t>
  </si>
  <si>
    <t>[2] Louisville vs. [15] Jacksonville State</t>
  </si>
  <si>
    <t>[3] Oregon vs. [14] Iona</t>
  </si>
  <si>
    <t>[4] Purdue vs. [13] Vermont</t>
  </si>
  <si>
    <t>[5] Iowa State vs. [12] Nevada</t>
  </si>
  <si>
    <t>[6] Creighton vs. [11] Rhode Island</t>
  </si>
  <si>
    <t>[7] Michigan vs. [10] Oklahoma State</t>
  </si>
  <si>
    <t>[8] Miami vs. [9] Michigan State</t>
  </si>
  <si>
    <t>[2] Kentucky vs. [15] Northern Kentucky</t>
  </si>
  <si>
    <t>[3] UCLA vs. [14] Kent State</t>
  </si>
  <si>
    <t>[4] Butler vs. [13] Winthrop</t>
  </si>
  <si>
    <t>[5] Minnesota vs. [12] Middle Tennessee State</t>
  </si>
  <si>
    <t>[7] Dayton vs. [10] Wichita State</t>
  </si>
  <si>
    <t>[8] Arkansas vs. [9] Seton Hall</t>
  </si>
  <si>
    <t>[6] Cincinnati vs. [11] Kansas State</t>
  </si>
  <si>
    <t>[1] Villanova vs. [16] Mount St. Mary's</t>
  </si>
  <si>
    <t>[1] Kansas vs. [16] UC Davis</t>
  </si>
  <si>
    <t>[6] SMU vs. [11] USC</t>
  </si>
  <si>
    <t>[4] Butler vs. [12] Middle Tennessee State</t>
  </si>
  <si>
    <t>[3] UCLA vs. [6] Cincinnati</t>
  </si>
  <si>
    <t>[2] Kentucky vs. [10] Wichita State</t>
  </si>
  <si>
    <t>[1] Kansas vs. [9] Michigan State</t>
  </si>
  <si>
    <t>[4] Purdue vs. [5] Iowa State</t>
  </si>
  <si>
    <t>[3] Oregon vs. [11] Rhode Island</t>
  </si>
  <si>
    <t>[2] Louisville vs. [7] Michigan</t>
  </si>
  <si>
    <t>[1] Gonzaga vs. [8] Northwestern</t>
  </si>
  <si>
    <t>[4] West Virginia vs. [5] Notre Dame</t>
  </si>
  <si>
    <t>[3] Florida State vs. [11] Xavier</t>
  </si>
  <si>
    <t>[2] Arizona vs. [7] St. Mary's</t>
  </si>
  <si>
    <t>[1] Villanova vs. [8] Wisconsin</t>
  </si>
  <si>
    <t>[4] Florida vs. [5] Virginia</t>
  </si>
  <si>
    <t>[3] Baylor vs. [11] USC</t>
  </si>
  <si>
    <t>[2] Duke vs. [7] South Carolina</t>
  </si>
  <si>
    <t>[4] Florida vs. [8] Wisconsin</t>
  </si>
  <si>
    <t>[3] Baylor vs. [7] South Carolina</t>
  </si>
  <si>
    <t>[1] Gonzaga vs. [4] West Virginia</t>
  </si>
  <si>
    <t>[2] Arizona vs. [11] Xavier</t>
  </si>
  <si>
    <t>[1] Kansas vs. [4] Purdue</t>
  </si>
  <si>
    <t>[3] Oregon vs. [7] Michigan</t>
  </si>
  <si>
    <t>[2] Kentucky vs. [3] UCLA</t>
  </si>
  <si>
    <t>[1] Gonzaga vs. [7] South Carolina</t>
  </si>
  <si>
    <t>[1] Kansas vs. [3] Oregon</t>
  </si>
  <si>
    <t>[1] Gonzaga vs. [11] Xavier</t>
  </si>
  <si>
    <t>[4] Florida vs. [7] South Carolina</t>
  </si>
  <si>
    <t>North Carolina</t>
  </si>
  <si>
    <t>TCU</t>
  </si>
  <si>
    <t>Loyola-Chicago</t>
  </si>
  <si>
    <t>UNC Greensboro</t>
  </si>
  <si>
    <t>Marshall</t>
  </si>
  <si>
    <t>College of Charleston</t>
  </si>
  <si>
    <t>Lipscomb</t>
  </si>
  <si>
    <t>[1] Virginia vs. [16] UMBC</t>
  </si>
  <si>
    <t>[1] Kansas vs. [16] Penn</t>
  </si>
  <si>
    <t>[2] Cincinnati vs. [15] Georgia State</t>
  </si>
  <si>
    <t>[2] Purdue vs. [15] Cal State Fullerton</t>
  </si>
  <si>
    <t>[2] Duke vs. [15] Iona</t>
  </si>
  <si>
    <t>[3] Tennessee vs. [14] Wright State</t>
  </si>
  <si>
    <t>[3] Michigan vs. [14] Montana</t>
  </si>
  <si>
    <t>[3] Texas Tech vs. [14] Stephen F. Austin</t>
  </si>
  <si>
    <t>[3] Michigan State vs. [14] Bucknell</t>
  </si>
  <si>
    <t>[4] Arizona vs. [13] Buffalo</t>
  </si>
  <si>
    <t>[4] Gonzaga vs. [13] UNC Greensboro</t>
  </si>
  <si>
    <t>[4] Wichita State vs. [13] Marshall</t>
  </si>
  <si>
    <t>[4] Auburn vs. [13] College of Charleston</t>
  </si>
  <si>
    <t>[5] Kentucky vs. [12] Davidson</t>
  </si>
  <si>
    <t>[5] Ohio State vs. [12] South Dakota State</t>
  </si>
  <si>
    <t>[5] West Virginia vs. [12] Murray State</t>
  </si>
  <si>
    <t>[5] Clemson vs. [12] New Mexico State</t>
  </si>
  <si>
    <t>[6] Miami vs. [11] Loyola-Chicago</t>
  </si>
  <si>
    <t>[6] Houston vs. [11] San Diego State</t>
  </si>
  <si>
    <t>[7] Nevada vs. [10] Texas</t>
  </si>
  <si>
    <t>[7] Texas A&amp;M vs. [10] Providence</t>
  </si>
  <si>
    <t>[7] Arkansas vs. [10] Butler</t>
  </si>
  <si>
    <t>[7] Rhode Island vs. [10] Oklahoma</t>
  </si>
  <si>
    <t>[8] Creighton vs. [9] Kansas State</t>
  </si>
  <si>
    <t>[8] Missouri vs. [9] Florida State</t>
  </si>
  <si>
    <t>[8] Virginia Tech vs. [9] Alabama</t>
  </si>
  <si>
    <t>[8] Seton Hall vs. [9] N.C. State</t>
  </si>
  <si>
    <t>[1] Villanova vs. [16] Radford</t>
  </si>
  <si>
    <t>[1] Xavier vs. [16] Texas Southern</t>
  </si>
  <si>
    <t>[6] TCU vs. [11] Syracuse</t>
  </si>
  <si>
    <t>[6] Florida vs. [11] St. Bonaventure</t>
  </si>
  <si>
    <t>[2] UNC vs. [15] Lipscomb</t>
  </si>
  <si>
    <t>[1] UNC vs. [8] Arkansas</t>
  </si>
  <si>
    <t>[1] UNC vs. [4] Butler</t>
  </si>
  <si>
    <t>[1] UNC vs. [2] Kentucky</t>
  </si>
  <si>
    <t>[1] UNC vs. [3] Oregon</t>
  </si>
  <si>
    <t>[1] UNC vs. [1] Gonzaga</t>
  </si>
  <si>
    <t>FiveThirtyEight</t>
  </si>
  <si>
    <t>[9] Kansas State vs. [16] UMBC</t>
  </si>
  <si>
    <t>[5] Kentucky vs. [13] Buffalo</t>
  </si>
  <si>
    <t>[3] Tennessee vs. [11] Loyola-Chicago</t>
  </si>
  <si>
    <t>[2] Cincinnati vs. [7] Nevada</t>
  </si>
  <si>
    <t>[1] Xavier vs. [9] Florida State</t>
  </si>
  <si>
    <t>[4] Gonzaga vs. [5] Ohio State</t>
  </si>
  <si>
    <t>[3] Michigan vs. [6] Houston</t>
  </si>
  <si>
    <t>[2] UNC vs. [7] Texas A&amp;M</t>
  </si>
  <si>
    <t>[1] Kansas vs. [8] Seton Hall</t>
  </si>
  <si>
    <t>[5] West Virginia vs. [13] Marshall</t>
  </si>
  <si>
    <t>[3] Texas Tech vs. [6] Florida</t>
  </si>
  <si>
    <t>[2] Purdue vs. [10] Butler</t>
  </si>
  <si>
    <t>[1] Villanova vs. [9] Alabama</t>
  </si>
  <si>
    <t>[4] Auburn vs. [5] Clemson</t>
  </si>
  <si>
    <t>[3] Michigan State vs. [11] Syracuse</t>
  </si>
  <si>
    <t>[2] Duke vs. [7] Rhode Island</t>
  </si>
  <si>
    <t>[5] Kentucky vs. [9] Kansas State</t>
  </si>
  <si>
    <t>[7] Nevada vs. [11] Loyola-Chicago</t>
  </si>
  <si>
    <t>[3] Michigan vs. [7] Texas A&amp;M</t>
  </si>
  <si>
    <t>[2] Purdue vs. [3] Texas Tech</t>
  </si>
  <si>
    <t>[1] Kansas vs. [5] Clemson</t>
  </si>
  <si>
    <t>[2] Duke vs. [11] Syracuse</t>
  </si>
  <si>
    <t>[4] Gonzaga vs. [9] Florida State</t>
  </si>
  <si>
    <t>[1] Villanova vs. [5] West Virginia</t>
  </si>
  <si>
    <t>KenPom</t>
  </si>
  <si>
    <t>[1] Memphis vs. [1] Kansas</t>
  </si>
  <si>
    <t>[2] Kansas vs. [2] Ohio State</t>
  </si>
  <si>
    <t>[1] Duke vs. [1] Wisconsin</t>
  </si>
  <si>
    <t>[2] Oklahoma vs. [2] Villanova</t>
  </si>
  <si>
    <t>[9] Kansas State vs. [11] Loyola-Chicago</t>
  </si>
  <si>
    <t>[3] Michigan vs. [9] Florida State</t>
  </si>
  <si>
    <t>[1] Villanova vs. [3] Texas Tech</t>
  </si>
  <si>
    <t>[1] Kansas vs. [2] Duke</t>
  </si>
  <si>
    <t>[3] Michigan vs. [11] Loyola-Chicago</t>
  </si>
  <si>
    <t>[1] Villanova vs. [1] Kansas</t>
  </si>
  <si>
    <t>AdjO Adv.</t>
  </si>
  <si>
    <t>AdjD Adv.</t>
  </si>
  <si>
    <t>Tempo Diff.</t>
  </si>
  <si>
    <t>Negatives</t>
  </si>
  <si>
    <t>[1] Villanova vs. [3] 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</si>
</sst>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2" fontId="0" fillId="0" borderId="0" xfId="0" applyNumberFormat="1"/>
    <xf numFmtId="0" fontId="2" fillId="0" borderId="0" xfId="0" applyFont="1"/>
    <xf numFmtId="164" fontId="0" fillId="0" borderId="0" xfId="0" applyNumberFormat="1" applyFont="1"/>
    <xf numFmtId="164" fontId="0" fillId="0" borderId="0" xfId="0" applyNumberFormat="1"/>
    <xf numFmtId="2" fontId="0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89"/>
  <sheetViews>
    <sheetView workbookViewId="0">
      <pane ySplit="1" topLeftCell="A2" activePane="bottomLeft" state="frozen"/>
      <selection pane="bottomLeft" activeCell="E11" sqref="E11"/>
    </sheetView>
  </sheetViews>
  <sheetFormatPr baseColWidth="10" defaultRowHeight="16" x14ac:dyDescent="0.2"/>
  <cols>
    <col min="1" max="1" width="22.5" bestFit="1" customWidth="1"/>
    <col min="2" max="2" width="5.1640625" bestFit="1" customWidth="1"/>
    <col min="3" max="3" width="5.33203125" customWidth="1"/>
    <col min="4" max="4" width="7.33203125" bestFit="1" customWidth="1"/>
    <col min="5" max="5" width="12.6640625" customWidth="1"/>
    <col min="6" max="6" width="5.33203125" customWidth="1"/>
    <col min="7" max="7" width="16.1640625" bestFit="1" customWidth="1"/>
    <col min="8" max="8" width="12.832031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1178</v>
      </c>
      <c r="E1" s="1" t="s">
        <v>1176</v>
      </c>
      <c r="F1" s="1" t="s">
        <v>65</v>
      </c>
      <c r="G1" s="1" t="s">
        <v>91</v>
      </c>
      <c r="H1" s="1" t="s">
        <v>92</v>
      </c>
    </row>
    <row r="2" spans="1:8" x14ac:dyDescent="0.2">
      <c r="A2" s="2" t="s">
        <v>75</v>
      </c>
      <c r="B2" s="2">
        <v>2018</v>
      </c>
      <c r="C2" s="2">
        <v>1</v>
      </c>
      <c r="D2" s="7">
        <v>32.15</v>
      </c>
      <c r="E2" s="7">
        <v>0.22</v>
      </c>
      <c r="F2" s="2">
        <v>0</v>
      </c>
      <c r="G2" s="2">
        <v>-20</v>
      </c>
      <c r="H2" s="5">
        <v>0</v>
      </c>
    </row>
    <row r="3" spans="1:8" x14ac:dyDescent="0.2">
      <c r="A3" s="2" t="s">
        <v>34</v>
      </c>
      <c r="B3" s="2">
        <v>2018</v>
      </c>
      <c r="C3" s="2">
        <v>1</v>
      </c>
      <c r="D3" s="7">
        <v>31.41</v>
      </c>
      <c r="E3" s="7">
        <v>4.1100000000000003</v>
      </c>
      <c r="F3" s="2"/>
      <c r="G3" s="2"/>
      <c r="H3" s="10"/>
    </row>
    <row r="4" spans="1:8" x14ac:dyDescent="0.2">
      <c r="A4" s="2" t="s">
        <v>4</v>
      </c>
      <c r="B4" s="2">
        <v>2018</v>
      </c>
      <c r="C4" s="2">
        <v>1</v>
      </c>
      <c r="D4" s="7">
        <v>23.24</v>
      </c>
      <c r="E4" s="7">
        <v>3.71</v>
      </c>
      <c r="F4" s="2"/>
      <c r="G4" s="2"/>
      <c r="H4" s="10"/>
    </row>
    <row r="5" spans="1:8" x14ac:dyDescent="0.2">
      <c r="A5" s="2" t="s">
        <v>76</v>
      </c>
      <c r="B5" s="2">
        <v>2018</v>
      </c>
      <c r="C5" s="2">
        <v>1</v>
      </c>
      <c r="D5" s="7">
        <v>21.69</v>
      </c>
      <c r="E5" s="7">
        <v>2.09</v>
      </c>
      <c r="F5" s="2">
        <v>1</v>
      </c>
      <c r="G5" s="2">
        <v>14</v>
      </c>
      <c r="H5" s="5">
        <f>19/1</f>
        <v>19</v>
      </c>
    </row>
    <row r="6" spans="1:8" x14ac:dyDescent="0.2">
      <c r="A6" s="2" t="s">
        <v>6</v>
      </c>
      <c r="B6" s="2">
        <v>2018</v>
      </c>
      <c r="C6" s="2">
        <v>2</v>
      </c>
      <c r="D6" s="7">
        <v>29.13</v>
      </c>
      <c r="E6" s="7">
        <v>4.6100000000000003</v>
      </c>
      <c r="F6" s="2"/>
      <c r="G6" s="2"/>
      <c r="H6" s="10"/>
    </row>
    <row r="7" spans="1:8" x14ac:dyDescent="0.2">
      <c r="A7" s="2" t="s">
        <v>37</v>
      </c>
      <c r="B7" s="2">
        <v>2018</v>
      </c>
      <c r="C7" s="2">
        <v>2</v>
      </c>
      <c r="D7" s="7">
        <v>27</v>
      </c>
      <c r="E7" s="7">
        <v>-4.1399999999999997</v>
      </c>
      <c r="F7" s="2">
        <v>1</v>
      </c>
      <c r="G7" s="2">
        <v>13</v>
      </c>
      <c r="H7" s="6">
        <f>15/1</f>
        <v>15</v>
      </c>
    </row>
    <row r="8" spans="1:8" x14ac:dyDescent="0.2">
      <c r="A8" s="2" t="s">
        <v>74</v>
      </c>
      <c r="B8" s="2">
        <v>2018</v>
      </c>
      <c r="C8" s="2">
        <v>2</v>
      </c>
      <c r="D8" s="7">
        <v>26.67</v>
      </c>
      <c r="E8" s="7">
        <v>0.91</v>
      </c>
      <c r="F8" s="2"/>
      <c r="G8" s="2"/>
      <c r="H8" s="10"/>
    </row>
    <row r="9" spans="1:8" x14ac:dyDescent="0.2">
      <c r="A9" s="2" t="s">
        <v>29</v>
      </c>
      <c r="B9" s="2">
        <v>2018</v>
      </c>
      <c r="C9" s="2">
        <v>2</v>
      </c>
      <c r="D9" s="7">
        <v>25.03</v>
      </c>
      <c r="E9" s="7">
        <v>7.99</v>
      </c>
      <c r="F9" s="2">
        <v>1</v>
      </c>
      <c r="G9" s="2">
        <v>-3</v>
      </c>
      <c r="H9" s="6">
        <f>18/1</f>
        <v>18</v>
      </c>
    </row>
    <row r="10" spans="1:8" x14ac:dyDescent="0.2">
      <c r="A10" s="2" t="s">
        <v>10</v>
      </c>
      <c r="B10" s="2">
        <v>2018</v>
      </c>
      <c r="C10" s="2">
        <v>3</v>
      </c>
      <c r="D10" s="7">
        <v>26.35</v>
      </c>
      <c r="E10" s="7">
        <v>-4.7</v>
      </c>
      <c r="F10" s="2">
        <v>1</v>
      </c>
      <c r="G10" s="2">
        <v>2</v>
      </c>
      <c r="H10" s="6">
        <f>4/1</f>
        <v>4</v>
      </c>
    </row>
    <row r="11" spans="1:8" x14ac:dyDescent="0.2">
      <c r="A11" s="2" t="s">
        <v>13</v>
      </c>
      <c r="B11" s="2">
        <v>2018</v>
      </c>
      <c r="C11" s="2">
        <v>3</v>
      </c>
      <c r="D11" s="7">
        <v>23.19</v>
      </c>
      <c r="E11" s="7">
        <v>-4.5999999999999996</v>
      </c>
      <c r="F11" s="2"/>
      <c r="G11" s="2"/>
      <c r="H11" s="10"/>
    </row>
    <row r="12" spans="1:8" x14ac:dyDescent="0.2">
      <c r="A12" s="2" t="s">
        <v>225</v>
      </c>
      <c r="B12" s="2">
        <v>2018</v>
      </c>
      <c r="C12" s="2">
        <v>3</v>
      </c>
      <c r="D12" s="7">
        <v>22.15</v>
      </c>
      <c r="E12" s="7">
        <v>7.56</v>
      </c>
      <c r="F12" s="2">
        <v>1</v>
      </c>
      <c r="G12" s="2">
        <v>25</v>
      </c>
      <c r="H12" s="6">
        <f>26/1</f>
        <v>26</v>
      </c>
    </row>
    <row r="13" spans="1:8" x14ac:dyDescent="0.2">
      <c r="A13" s="2" t="s">
        <v>539</v>
      </c>
      <c r="B13" s="2">
        <v>2018</v>
      </c>
      <c r="C13" s="2">
        <v>3</v>
      </c>
      <c r="D13" s="7">
        <v>21.94</v>
      </c>
      <c r="E13" s="7">
        <v>-5.12</v>
      </c>
      <c r="F13" s="2"/>
      <c r="G13" s="2"/>
      <c r="H13" s="10"/>
    </row>
    <row r="14" spans="1:8" x14ac:dyDescent="0.2">
      <c r="A14" s="2" t="s">
        <v>3</v>
      </c>
      <c r="B14" s="2">
        <v>2018</v>
      </c>
      <c r="C14" s="2">
        <v>4</v>
      </c>
      <c r="D14" s="7">
        <v>24.74</v>
      </c>
      <c r="E14" s="7">
        <v>3.24</v>
      </c>
      <c r="F14" s="2"/>
      <c r="G14" s="2"/>
      <c r="H14" s="10"/>
    </row>
    <row r="15" spans="1:8" x14ac:dyDescent="0.2">
      <c r="A15" s="2" t="s">
        <v>826</v>
      </c>
      <c r="B15" s="2">
        <v>2018</v>
      </c>
      <c r="C15" s="2">
        <v>4</v>
      </c>
      <c r="D15" s="7">
        <v>20.63</v>
      </c>
      <c r="E15" s="7">
        <v>-1.75</v>
      </c>
      <c r="F15" s="2">
        <v>1</v>
      </c>
      <c r="G15" s="2">
        <v>-27</v>
      </c>
      <c r="H15" s="6">
        <f>4/1</f>
        <v>4</v>
      </c>
    </row>
    <row r="16" spans="1:8" x14ac:dyDescent="0.2">
      <c r="A16" s="2" t="s">
        <v>32</v>
      </c>
      <c r="B16" s="2">
        <v>2018</v>
      </c>
      <c r="C16" s="2">
        <v>4</v>
      </c>
      <c r="D16" s="7">
        <v>20.07</v>
      </c>
      <c r="E16" s="7">
        <v>2.0499999999999998</v>
      </c>
      <c r="F16" s="2">
        <v>0</v>
      </c>
      <c r="G16" s="2">
        <v>-6</v>
      </c>
      <c r="H16" s="6">
        <v>0</v>
      </c>
    </row>
    <row r="17" spans="1:8" x14ac:dyDescent="0.2">
      <c r="A17" s="2" t="s">
        <v>21</v>
      </c>
      <c r="B17" s="2">
        <v>2018</v>
      </c>
      <c r="C17" s="2">
        <v>4</v>
      </c>
      <c r="D17" s="7">
        <v>19.37</v>
      </c>
      <c r="E17" s="7">
        <v>2.82</v>
      </c>
      <c r="F17" s="2">
        <v>0</v>
      </c>
      <c r="G17" s="2">
        <v>-21</v>
      </c>
      <c r="H17" s="6">
        <v>0</v>
      </c>
    </row>
    <row r="18" spans="1:8" x14ac:dyDescent="0.2">
      <c r="A18" s="2" t="s">
        <v>77</v>
      </c>
      <c r="B18" s="2">
        <v>2018</v>
      </c>
      <c r="C18" s="2">
        <v>5</v>
      </c>
      <c r="D18" s="7">
        <v>21.77</v>
      </c>
      <c r="E18" s="7">
        <v>-4.24</v>
      </c>
      <c r="F18" s="2"/>
      <c r="G18" s="2"/>
      <c r="H18" s="10"/>
    </row>
    <row r="19" spans="1:8" x14ac:dyDescent="0.2">
      <c r="A19" s="2" t="s">
        <v>5</v>
      </c>
      <c r="B19" s="2">
        <v>2018</v>
      </c>
      <c r="C19" s="2">
        <v>5</v>
      </c>
      <c r="D19" s="7">
        <v>21.11</v>
      </c>
      <c r="E19" s="7">
        <v>0.41</v>
      </c>
      <c r="F19" s="2">
        <v>1</v>
      </c>
      <c r="G19" s="2">
        <v>2</v>
      </c>
      <c r="H19" s="6">
        <f>8/1</f>
        <v>8</v>
      </c>
    </row>
    <row r="20" spans="1:8" x14ac:dyDescent="0.2">
      <c r="A20" s="2" t="s">
        <v>66</v>
      </c>
      <c r="B20" s="2">
        <v>2018</v>
      </c>
      <c r="C20" s="2">
        <v>5</v>
      </c>
      <c r="D20" s="7">
        <v>20.41</v>
      </c>
      <c r="E20" s="7">
        <v>5.05</v>
      </c>
      <c r="F20" s="2"/>
      <c r="G20" s="2"/>
      <c r="H20" s="10"/>
    </row>
    <row r="21" spans="1:8" x14ac:dyDescent="0.2">
      <c r="A21" s="2" t="s">
        <v>229</v>
      </c>
      <c r="B21" s="2">
        <v>2018</v>
      </c>
      <c r="C21" s="2">
        <v>5</v>
      </c>
      <c r="D21" s="7">
        <v>20.27</v>
      </c>
      <c r="E21" s="7">
        <v>-1.85</v>
      </c>
      <c r="F21" s="2"/>
      <c r="G21" s="2"/>
      <c r="H21" s="10"/>
    </row>
    <row r="22" spans="1:8" x14ac:dyDescent="0.2">
      <c r="A22" s="2" t="s">
        <v>310</v>
      </c>
      <c r="B22" s="2">
        <v>2018</v>
      </c>
      <c r="C22" s="2">
        <v>6</v>
      </c>
      <c r="D22" s="7">
        <v>20.54</v>
      </c>
      <c r="E22" s="7">
        <v>-2.71</v>
      </c>
      <c r="F22" s="2">
        <v>1</v>
      </c>
      <c r="G22" s="2">
        <v>1</v>
      </c>
      <c r="H22" s="6">
        <f>2/1</f>
        <v>2</v>
      </c>
    </row>
    <row r="23" spans="1:8" x14ac:dyDescent="0.2">
      <c r="A23" s="2" t="s">
        <v>1254</v>
      </c>
      <c r="B23" s="2">
        <v>2018</v>
      </c>
      <c r="C23" s="2">
        <v>6</v>
      </c>
      <c r="D23" s="7">
        <v>18.920000000000002</v>
      </c>
      <c r="E23" s="7">
        <v>-0.43</v>
      </c>
      <c r="F23" s="2">
        <v>0</v>
      </c>
      <c r="G23" s="2">
        <v>-5</v>
      </c>
      <c r="H23" s="6">
        <v>0</v>
      </c>
    </row>
    <row r="24" spans="1:8" x14ac:dyDescent="0.2">
      <c r="A24" s="2" t="s">
        <v>9</v>
      </c>
      <c r="B24" s="2">
        <v>2018</v>
      </c>
      <c r="C24" s="2">
        <v>6</v>
      </c>
      <c r="D24" s="7">
        <v>18.71</v>
      </c>
      <c r="E24" s="7">
        <v>4.49</v>
      </c>
      <c r="F24" s="2">
        <v>1</v>
      </c>
      <c r="G24" s="2">
        <v>12</v>
      </c>
      <c r="H24" s="6">
        <f>15/1</f>
        <v>15</v>
      </c>
    </row>
    <row r="25" spans="1:8" x14ac:dyDescent="0.2">
      <c r="A25" s="2" t="s">
        <v>8</v>
      </c>
      <c r="B25" s="2">
        <v>2018</v>
      </c>
      <c r="C25" s="2">
        <v>6</v>
      </c>
      <c r="D25" s="7">
        <v>15.71</v>
      </c>
      <c r="E25" s="7">
        <v>-3.58</v>
      </c>
      <c r="F25" s="2">
        <v>0</v>
      </c>
      <c r="G25" s="2">
        <v>-2</v>
      </c>
      <c r="H25" s="6">
        <v>0</v>
      </c>
    </row>
    <row r="26" spans="1:8" x14ac:dyDescent="0.2">
      <c r="A26" s="2" t="s">
        <v>538</v>
      </c>
      <c r="B26" s="2">
        <v>2018</v>
      </c>
      <c r="C26" s="2">
        <v>7</v>
      </c>
      <c r="D26" s="7">
        <v>18.18</v>
      </c>
      <c r="E26" s="7">
        <v>4.2</v>
      </c>
      <c r="F26" s="2"/>
      <c r="G26" s="2"/>
      <c r="H26" s="10"/>
    </row>
    <row r="27" spans="1:8" x14ac:dyDescent="0.2">
      <c r="A27" s="2" t="s">
        <v>222</v>
      </c>
      <c r="B27" s="2">
        <v>2018</v>
      </c>
      <c r="C27" s="2">
        <v>7</v>
      </c>
      <c r="D27" s="7">
        <v>16.91</v>
      </c>
      <c r="E27" s="7">
        <v>5.29</v>
      </c>
      <c r="F27" s="2"/>
      <c r="G27" s="2"/>
      <c r="H27" s="10"/>
    </row>
    <row r="28" spans="1:8" x14ac:dyDescent="0.2">
      <c r="A28" s="2" t="s">
        <v>462</v>
      </c>
      <c r="B28" s="2">
        <v>2018</v>
      </c>
      <c r="C28" s="2">
        <v>7</v>
      </c>
      <c r="D28" s="7">
        <v>15.63</v>
      </c>
      <c r="E28" s="7">
        <v>1.3</v>
      </c>
      <c r="F28" s="2">
        <v>0</v>
      </c>
      <c r="G28" s="2">
        <v>-17</v>
      </c>
      <c r="H28" s="6">
        <v>0</v>
      </c>
    </row>
    <row r="29" spans="1:8" x14ac:dyDescent="0.2">
      <c r="A29" s="2" t="s">
        <v>1181</v>
      </c>
      <c r="B29" s="2">
        <v>2018</v>
      </c>
      <c r="C29" s="2">
        <v>7</v>
      </c>
      <c r="D29" s="7">
        <v>14.38</v>
      </c>
      <c r="E29" s="7">
        <v>4.0599999999999996</v>
      </c>
      <c r="F29" s="2">
        <v>1</v>
      </c>
      <c r="G29" s="2">
        <v>-20</v>
      </c>
      <c r="H29" s="6">
        <f>5/1</f>
        <v>5</v>
      </c>
    </row>
    <row r="30" spans="1:8" x14ac:dyDescent="0.2">
      <c r="A30" s="2" t="s">
        <v>617</v>
      </c>
      <c r="B30" s="2">
        <v>2018</v>
      </c>
      <c r="C30" s="2">
        <v>8</v>
      </c>
      <c r="D30" s="7">
        <v>17.34</v>
      </c>
      <c r="E30" s="7">
        <v>0.42</v>
      </c>
      <c r="F30" s="2">
        <v>1</v>
      </c>
      <c r="G30" s="2">
        <v>7</v>
      </c>
      <c r="H30" s="6">
        <f>11/1</f>
        <v>11</v>
      </c>
    </row>
    <row r="31" spans="1:8" x14ac:dyDescent="0.2">
      <c r="A31" s="2" t="s">
        <v>25</v>
      </c>
      <c r="B31" s="2">
        <v>2018</v>
      </c>
      <c r="C31" s="2">
        <v>8</v>
      </c>
      <c r="D31" s="7">
        <v>17.28</v>
      </c>
      <c r="E31" s="7">
        <v>-3.82</v>
      </c>
      <c r="F31" s="2">
        <v>0</v>
      </c>
      <c r="G31" s="2">
        <v>-10</v>
      </c>
      <c r="H31" s="6">
        <v>0</v>
      </c>
    </row>
    <row r="32" spans="1:8" x14ac:dyDescent="0.2">
      <c r="A32" s="2" t="s">
        <v>537</v>
      </c>
      <c r="B32" s="2">
        <v>2018</v>
      </c>
      <c r="C32" s="2">
        <v>8</v>
      </c>
      <c r="D32" s="7">
        <v>16.64</v>
      </c>
      <c r="E32" s="7">
        <v>-9.57</v>
      </c>
      <c r="F32" s="2">
        <v>0</v>
      </c>
      <c r="G32" s="2">
        <v>-3</v>
      </c>
      <c r="H32" s="6">
        <v>0</v>
      </c>
    </row>
    <row r="33" spans="1:8" x14ac:dyDescent="0.2">
      <c r="A33" s="2" t="s">
        <v>33</v>
      </c>
      <c r="B33" s="2">
        <v>2018</v>
      </c>
      <c r="C33" s="2">
        <v>8</v>
      </c>
      <c r="D33" s="7">
        <v>15.47</v>
      </c>
      <c r="E33" s="7">
        <v>1.3</v>
      </c>
      <c r="F33" s="2">
        <v>0</v>
      </c>
      <c r="G33" s="2">
        <v>-13</v>
      </c>
      <c r="H33" s="6">
        <v>0</v>
      </c>
    </row>
    <row r="34" spans="1:8" x14ac:dyDescent="0.2">
      <c r="A34" s="2" t="s">
        <v>69</v>
      </c>
      <c r="B34" s="2">
        <v>2018</v>
      </c>
      <c r="C34" s="2">
        <v>9</v>
      </c>
      <c r="D34" s="7">
        <v>15.82</v>
      </c>
      <c r="E34" s="7">
        <v>-6.72</v>
      </c>
      <c r="F34" s="2"/>
      <c r="G34" s="2"/>
      <c r="H34" s="10"/>
    </row>
    <row r="35" spans="1:8" x14ac:dyDescent="0.2">
      <c r="A35" s="2" t="s">
        <v>31</v>
      </c>
      <c r="B35" s="2">
        <v>2018</v>
      </c>
      <c r="C35" s="2">
        <v>9</v>
      </c>
      <c r="D35" s="7">
        <v>15.13</v>
      </c>
      <c r="E35" s="7">
        <v>-9.44</v>
      </c>
      <c r="F35" s="2">
        <v>0</v>
      </c>
      <c r="G35" s="2">
        <v>-11</v>
      </c>
      <c r="H35" s="6">
        <v>0</v>
      </c>
    </row>
    <row r="36" spans="1:8" x14ac:dyDescent="0.2">
      <c r="A36" s="2" t="s">
        <v>16</v>
      </c>
      <c r="B36" s="2">
        <v>2018</v>
      </c>
      <c r="C36" s="2">
        <v>9</v>
      </c>
      <c r="D36" s="7">
        <v>14.75</v>
      </c>
      <c r="E36" s="7">
        <v>-6.03</v>
      </c>
      <c r="F36" s="2"/>
      <c r="G36" s="2"/>
      <c r="H36" s="10"/>
    </row>
    <row r="37" spans="1:8" x14ac:dyDescent="0.2">
      <c r="A37" s="2" t="s">
        <v>72</v>
      </c>
      <c r="B37" s="2">
        <v>2018</v>
      </c>
      <c r="C37" s="2">
        <v>9</v>
      </c>
      <c r="D37" s="7">
        <v>13.83</v>
      </c>
      <c r="E37" s="7">
        <v>3.02</v>
      </c>
      <c r="F37" s="2">
        <v>1</v>
      </c>
      <c r="G37" s="2">
        <v>-20</v>
      </c>
      <c r="H37" s="6">
        <f>3/1</f>
        <v>3</v>
      </c>
    </row>
    <row r="38" spans="1:8" x14ac:dyDescent="0.2">
      <c r="A38" s="2" t="s">
        <v>23</v>
      </c>
      <c r="B38" s="2">
        <v>2018</v>
      </c>
      <c r="C38" s="2">
        <v>10</v>
      </c>
      <c r="D38" s="7">
        <v>17.87</v>
      </c>
      <c r="E38" s="7">
        <v>0.27</v>
      </c>
      <c r="F38" s="2">
        <v>1</v>
      </c>
      <c r="G38" s="2">
        <v>14</v>
      </c>
      <c r="H38" s="6">
        <f>17/1</f>
        <v>17</v>
      </c>
    </row>
    <row r="39" spans="1:8" x14ac:dyDescent="0.2">
      <c r="A39" s="2" t="s">
        <v>78</v>
      </c>
      <c r="B39" s="2">
        <v>2018</v>
      </c>
      <c r="C39" s="2">
        <v>10</v>
      </c>
      <c r="D39" s="7">
        <v>15.46</v>
      </c>
      <c r="E39" s="7">
        <v>2.19</v>
      </c>
      <c r="F39" s="2">
        <v>0</v>
      </c>
      <c r="G39" s="2">
        <v>-4</v>
      </c>
      <c r="H39" s="6">
        <v>0</v>
      </c>
    </row>
    <row r="40" spans="1:8" x14ac:dyDescent="0.2">
      <c r="A40" s="2" t="s">
        <v>38</v>
      </c>
      <c r="B40" s="2">
        <v>2018</v>
      </c>
      <c r="C40" s="2">
        <v>10</v>
      </c>
      <c r="D40" s="7">
        <v>14.42</v>
      </c>
      <c r="E40" s="7">
        <v>2.2400000000000002</v>
      </c>
      <c r="F40" s="2">
        <v>0</v>
      </c>
      <c r="G40" s="2">
        <v>-5</v>
      </c>
      <c r="H40" s="6">
        <v>0</v>
      </c>
    </row>
    <row r="41" spans="1:8" x14ac:dyDescent="0.2">
      <c r="A41" s="2" t="s">
        <v>754</v>
      </c>
      <c r="B41" s="2">
        <v>2018</v>
      </c>
      <c r="C41" s="2">
        <v>10</v>
      </c>
      <c r="D41" s="7">
        <v>11.92</v>
      </c>
      <c r="E41" s="7">
        <v>-1.02</v>
      </c>
      <c r="F41" s="2">
        <v>0</v>
      </c>
      <c r="G41" s="2">
        <v>-4</v>
      </c>
      <c r="H41" s="6">
        <v>0</v>
      </c>
    </row>
    <row r="42" spans="1:8" x14ac:dyDescent="0.2">
      <c r="A42" s="2" t="s">
        <v>1255</v>
      </c>
      <c r="B42" s="2">
        <v>2018</v>
      </c>
      <c r="C42" s="2">
        <v>11</v>
      </c>
      <c r="D42" s="7">
        <v>15.14</v>
      </c>
      <c r="E42" s="7">
        <v>-5.63</v>
      </c>
      <c r="F42" s="2"/>
      <c r="G42" s="2"/>
      <c r="H42" s="10"/>
    </row>
    <row r="43" spans="1:8" x14ac:dyDescent="0.2">
      <c r="A43" s="2" t="s">
        <v>143</v>
      </c>
      <c r="B43" s="2">
        <v>2018</v>
      </c>
      <c r="C43" s="2">
        <v>11</v>
      </c>
      <c r="D43" s="7">
        <v>14.15</v>
      </c>
      <c r="E43" s="7">
        <v>-0.17</v>
      </c>
      <c r="F43" s="2">
        <v>0</v>
      </c>
      <c r="G43" s="2">
        <v>-2</v>
      </c>
      <c r="H43" s="6">
        <v>0</v>
      </c>
    </row>
    <row r="44" spans="1:8" x14ac:dyDescent="0.2">
      <c r="A44" s="2" t="s">
        <v>14</v>
      </c>
      <c r="B44" s="2">
        <v>2018</v>
      </c>
      <c r="C44" s="2">
        <v>11</v>
      </c>
      <c r="D44" s="7">
        <v>13.59</v>
      </c>
      <c r="E44" s="7">
        <v>-0.23</v>
      </c>
      <c r="F44" s="2"/>
      <c r="G44" s="2"/>
      <c r="H44" s="10"/>
    </row>
    <row r="45" spans="1:8" x14ac:dyDescent="0.2">
      <c r="A45" s="2" t="s">
        <v>82</v>
      </c>
      <c r="B45" s="2">
        <v>2018</v>
      </c>
      <c r="C45" s="2">
        <v>11</v>
      </c>
      <c r="D45" s="7">
        <v>11.2</v>
      </c>
      <c r="E45" s="7">
        <v>1.43</v>
      </c>
      <c r="F45" s="2">
        <v>0</v>
      </c>
      <c r="G45" s="2">
        <v>-15</v>
      </c>
      <c r="H45" s="6">
        <v>0</v>
      </c>
    </row>
    <row r="46" spans="1:8" x14ac:dyDescent="0.2">
      <c r="A46" s="2" t="s">
        <v>51</v>
      </c>
      <c r="B46" s="2">
        <v>2018</v>
      </c>
      <c r="C46" s="2">
        <v>12</v>
      </c>
      <c r="D46" s="7">
        <v>14.91</v>
      </c>
      <c r="E46" s="7">
        <v>1.71</v>
      </c>
      <c r="F46" s="2">
        <v>0</v>
      </c>
      <c r="G46" s="2">
        <v>-5</v>
      </c>
      <c r="H46" s="6">
        <v>0</v>
      </c>
    </row>
    <row r="47" spans="1:8" x14ac:dyDescent="0.2">
      <c r="A47" s="2" t="s">
        <v>49</v>
      </c>
      <c r="B47" s="2">
        <v>2018</v>
      </c>
      <c r="C47" s="2">
        <v>12</v>
      </c>
      <c r="D47" s="7">
        <v>13.56</v>
      </c>
      <c r="E47" s="7">
        <v>4.1900000000000004</v>
      </c>
      <c r="F47" s="2">
        <v>0</v>
      </c>
      <c r="G47" s="2">
        <v>-11</v>
      </c>
      <c r="H47" s="6">
        <v>0</v>
      </c>
    </row>
    <row r="48" spans="1:8" x14ac:dyDescent="0.2">
      <c r="A48" s="2" t="s">
        <v>71</v>
      </c>
      <c r="B48" s="2">
        <v>2018</v>
      </c>
      <c r="C48" s="2">
        <v>12</v>
      </c>
      <c r="D48" s="7">
        <v>12.7</v>
      </c>
      <c r="E48" s="7">
        <v>-0.76</v>
      </c>
      <c r="F48" s="2">
        <v>0</v>
      </c>
      <c r="G48" s="2">
        <v>-17</v>
      </c>
      <c r="H48" s="6">
        <v>0</v>
      </c>
    </row>
    <row r="49" spans="1:8" x14ac:dyDescent="0.2">
      <c r="A49" s="2" t="s">
        <v>50</v>
      </c>
      <c r="B49" s="2">
        <v>2018</v>
      </c>
      <c r="C49" s="2">
        <v>12</v>
      </c>
      <c r="D49" s="7">
        <v>10.59</v>
      </c>
      <c r="E49" s="7">
        <v>3.91</v>
      </c>
      <c r="F49" s="2">
        <v>0</v>
      </c>
      <c r="G49" s="2">
        <v>-8</v>
      </c>
      <c r="H49" s="6">
        <v>0</v>
      </c>
    </row>
    <row r="50" spans="1:8" x14ac:dyDescent="0.2">
      <c r="A50" s="2" t="s">
        <v>967</v>
      </c>
      <c r="B50" s="2">
        <v>2018</v>
      </c>
      <c r="C50" s="2">
        <v>13</v>
      </c>
      <c r="D50" s="7">
        <v>10.49</v>
      </c>
      <c r="E50" s="7">
        <v>4.08</v>
      </c>
      <c r="F50" s="2">
        <v>1</v>
      </c>
      <c r="G50" s="2">
        <v>1</v>
      </c>
      <c r="H50" s="6">
        <f>21/1</f>
        <v>21</v>
      </c>
    </row>
    <row r="51" spans="1:8" x14ac:dyDescent="0.2">
      <c r="A51" s="2" t="s">
        <v>1256</v>
      </c>
      <c r="B51" s="2">
        <v>2018</v>
      </c>
      <c r="C51" s="2">
        <v>13</v>
      </c>
      <c r="D51" s="7">
        <v>9.06</v>
      </c>
      <c r="E51" s="7">
        <v>-3.23</v>
      </c>
      <c r="F51" s="2">
        <v>0</v>
      </c>
      <c r="G51" s="2">
        <v>-4</v>
      </c>
      <c r="H51" s="6">
        <v>0</v>
      </c>
    </row>
    <row r="52" spans="1:8" x14ac:dyDescent="0.2">
      <c r="A52" s="2" t="s">
        <v>1257</v>
      </c>
      <c r="B52" s="2">
        <v>2018</v>
      </c>
      <c r="C52" s="2">
        <v>13</v>
      </c>
      <c r="D52" s="7">
        <v>5.38</v>
      </c>
      <c r="E52" s="7">
        <v>-6.83</v>
      </c>
      <c r="F52" s="2"/>
      <c r="G52" s="2"/>
      <c r="H52" s="10"/>
    </row>
    <row r="53" spans="1:8" x14ac:dyDescent="0.2">
      <c r="A53" s="2" t="s">
        <v>1258</v>
      </c>
      <c r="B53" s="2">
        <v>2018</v>
      </c>
      <c r="C53" s="2">
        <v>13</v>
      </c>
      <c r="D53" s="7">
        <v>4.7300000000000004</v>
      </c>
      <c r="E53" s="7">
        <v>-7.46</v>
      </c>
      <c r="F53" s="2">
        <v>0</v>
      </c>
      <c r="G53" s="2">
        <v>-4</v>
      </c>
      <c r="H53" s="6">
        <v>0</v>
      </c>
    </row>
    <row r="54" spans="1:8" x14ac:dyDescent="0.2">
      <c r="A54" s="2" t="s">
        <v>59</v>
      </c>
      <c r="B54" s="2">
        <v>2018</v>
      </c>
      <c r="C54" s="2">
        <v>14</v>
      </c>
      <c r="D54" s="7">
        <v>10.83</v>
      </c>
      <c r="E54" s="7">
        <v>2.52</v>
      </c>
      <c r="F54" s="2">
        <v>0</v>
      </c>
      <c r="G54" s="2">
        <v>-14</v>
      </c>
      <c r="H54" s="6">
        <v>0</v>
      </c>
    </row>
    <row r="55" spans="1:8" x14ac:dyDescent="0.2">
      <c r="A55" s="2" t="s">
        <v>43</v>
      </c>
      <c r="B55" s="2">
        <v>2018</v>
      </c>
      <c r="C55" s="2">
        <v>14</v>
      </c>
      <c r="D55" s="7">
        <v>6.81</v>
      </c>
      <c r="E55" s="7">
        <v>6.15</v>
      </c>
      <c r="F55" s="2">
        <v>0</v>
      </c>
      <c r="G55" s="2">
        <v>-4</v>
      </c>
      <c r="H55" s="6">
        <v>0</v>
      </c>
    </row>
    <row r="56" spans="1:8" x14ac:dyDescent="0.2">
      <c r="A56" s="2" t="s">
        <v>390</v>
      </c>
      <c r="B56" s="2">
        <v>2018</v>
      </c>
      <c r="C56" s="2">
        <v>14</v>
      </c>
      <c r="D56" s="7">
        <v>5.56</v>
      </c>
      <c r="E56" s="7">
        <v>-2.0499999999999998</v>
      </c>
      <c r="F56" s="2">
        <v>0</v>
      </c>
      <c r="G56" s="2">
        <v>-10</v>
      </c>
      <c r="H56" s="6">
        <v>0</v>
      </c>
    </row>
    <row r="57" spans="1:8" x14ac:dyDescent="0.2">
      <c r="A57" s="2" t="s">
        <v>543</v>
      </c>
      <c r="B57" s="2">
        <v>2018</v>
      </c>
      <c r="C57" s="2">
        <v>14</v>
      </c>
      <c r="D57" s="7">
        <v>2.82</v>
      </c>
      <c r="E57" s="7">
        <v>2.2999999999999998</v>
      </c>
      <c r="F57" s="2">
        <v>0</v>
      </c>
      <c r="G57" s="2">
        <v>-26</v>
      </c>
      <c r="H57" s="6">
        <v>0</v>
      </c>
    </row>
    <row r="58" spans="1:8" x14ac:dyDescent="0.2">
      <c r="A58" s="2" t="s">
        <v>970</v>
      </c>
      <c r="B58" s="2">
        <v>2018</v>
      </c>
      <c r="C58" s="2">
        <v>15</v>
      </c>
      <c r="D58" s="7">
        <v>7.21</v>
      </c>
      <c r="E58" s="7">
        <v>-2.88</v>
      </c>
      <c r="F58" s="2">
        <v>0</v>
      </c>
      <c r="G58" s="2">
        <v>-15</v>
      </c>
      <c r="H58" s="6">
        <v>0</v>
      </c>
    </row>
    <row r="59" spans="1:8" x14ac:dyDescent="0.2">
      <c r="A59" s="2" t="s">
        <v>55</v>
      </c>
      <c r="B59" s="2">
        <v>2018</v>
      </c>
      <c r="C59" s="2">
        <v>15</v>
      </c>
      <c r="D59" s="7">
        <v>2.87</v>
      </c>
      <c r="E59" s="7">
        <v>2.2599999999999998</v>
      </c>
      <c r="F59" s="2">
        <v>0</v>
      </c>
      <c r="G59" s="2">
        <v>-22</v>
      </c>
      <c r="H59" s="6">
        <v>0</v>
      </c>
    </row>
    <row r="60" spans="1:8" x14ac:dyDescent="0.2">
      <c r="A60" s="2" t="s">
        <v>469</v>
      </c>
      <c r="B60" s="2">
        <v>2018</v>
      </c>
      <c r="C60" s="2">
        <v>15</v>
      </c>
      <c r="D60" s="7">
        <v>1.32</v>
      </c>
      <c r="E60" s="7">
        <v>3.47</v>
      </c>
      <c r="F60" s="2">
        <v>0</v>
      </c>
      <c r="G60" s="2">
        <v>-26</v>
      </c>
      <c r="H60" s="6">
        <v>0</v>
      </c>
    </row>
    <row r="61" spans="1:8" x14ac:dyDescent="0.2">
      <c r="A61" s="2" t="s">
        <v>1259</v>
      </c>
      <c r="B61" s="2">
        <v>2018</v>
      </c>
      <c r="C61" s="2">
        <v>15</v>
      </c>
      <c r="D61" s="7">
        <v>0.36</v>
      </c>
      <c r="E61" s="7">
        <v>6.07</v>
      </c>
      <c r="F61" s="2">
        <v>0</v>
      </c>
      <c r="G61" s="2">
        <v>-18</v>
      </c>
      <c r="H61" s="6">
        <v>0</v>
      </c>
    </row>
    <row r="62" spans="1:8" x14ac:dyDescent="0.2">
      <c r="A62" s="2" t="s">
        <v>544</v>
      </c>
      <c r="B62" s="2">
        <v>2018</v>
      </c>
      <c r="C62" s="2">
        <v>16</v>
      </c>
      <c r="D62" s="7">
        <v>3.7</v>
      </c>
      <c r="E62" s="7">
        <v>-2.77</v>
      </c>
      <c r="F62" s="2">
        <v>0</v>
      </c>
      <c r="G62" s="2">
        <v>-16</v>
      </c>
      <c r="H62" s="6">
        <v>0</v>
      </c>
    </row>
    <row r="63" spans="1:8" x14ac:dyDescent="0.2">
      <c r="A63" s="2" t="s">
        <v>394</v>
      </c>
      <c r="B63" s="2">
        <v>2018</v>
      </c>
      <c r="C63" s="2">
        <v>16</v>
      </c>
      <c r="D63" s="7">
        <v>-0.05</v>
      </c>
      <c r="E63" s="7">
        <v>4.01</v>
      </c>
      <c r="F63" s="2">
        <v>0</v>
      </c>
      <c r="G63" s="2">
        <v>-26</v>
      </c>
      <c r="H63" s="6">
        <v>0</v>
      </c>
    </row>
    <row r="64" spans="1:8" x14ac:dyDescent="0.2">
      <c r="A64" s="2" t="s">
        <v>471</v>
      </c>
      <c r="B64" s="2">
        <v>2018</v>
      </c>
      <c r="C64" s="2">
        <v>16</v>
      </c>
      <c r="D64" s="7">
        <v>-1.91</v>
      </c>
      <c r="E64" s="7">
        <v>-3.4</v>
      </c>
      <c r="F64" s="2">
        <v>1</v>
      </c>
      <c r="G64" s="2">
        <v>13</v>
      </c>
      <c r="H64" s="6">
        <f>20/1</f>
        <v>20</v>
      </c>
    </row>
    <row r="65" spans="1:8" x14ac:dyDescent="0.2">
      <c r="A65" s="2" t="s">
        <v>971</v>
      </c>
      <c r="B65" s="2">
        <v>2018</v>
      </c>
      <c r="C65" s="2">
        <v>16</v>
      </c>
      <c r="D65" s="7">
        <v>-7.66</v>
      </c>
      <c r="E65" s="7">
        <v>17.47</v>
      </c>
      <c r="F65" s="2">
        <v>0</v>
      </c>
      <c r="G65" s="2">
        <v>-19</v>
      </c>
      <c r="H65" s="6">
        <v>0</v>
      </c>
    </row>
    <row r="66" spans="1:8" x14ac:dyDescent="0.2">
      <c r="A66" s="2" t="s">
        <v>3</v>
      </c>
      <c r="B66" s="2">
        <v>2017</v>
      </c>
      <c r="C66" s="2">
        <v>1</v>
      </c>
      <c r="D66" s="7">
        <v>33.049999999999997</v>
      </c>
      <c r="E66" s="7">
        <v>0.72</v>
      </c>
      <c r="F66" s="2">
        <v>5</v>
      </c>
      <c r="G66" s="2">
        <v>51</v>
      </c>
      <c r="H66" s="5">
        <f>57/5</f>
        <v>11.4</v>
      </c>
    </row>
    <row r="67" spans="1:8" x14ac:dyDescent="0.2">
      <c r="A67" s="2" t="s">
        <v>34</v>
      </c>
      <c r="B67" s="2">
        <v>2017</v>
      </c>
      <c r="C67" s="2">
        <v>1</v>
      </c>
      <c r="D67" s="7">
        <v>30.78</v>
      </c>
      <c r="E67" s="7">
        <v>4.25</v>
      </c>
      <c r="F67" s="2">
        <v>1</v>
      </c>
      <c r="G67" s="2">
        <v>17</v>
      </c>
      <c r="H67" s="5">
        <f>20/1</f>
        <v>20</v>
      </c>
    </row>
    <row r="68" spans="1:8" x14ac:dyDescent="0.2">
      <c r="A68" s="2" t="s">
        <v>29</v>
      </c>
      <c r="B68" s="2">
        <v>2017</v>
      </c>
      <c r="C68" s="2">
        <v>1</v>
      </c>
      <c r="D68" s="7">
        <v>28.01</v>
      </c>
      <c r="E68" s="7">
        <v>4.17</v>
      </c>
      <c r="F68" s="2">
        <v>6</v>
      </c>
      <c r="G68" s="2">
        <v>67</v>
      </c>
      <c r="H68" s="5">
        <f>67/6</f>
        <v>11.166666666666666</v>
      </c>
    </row>
    <row r="69" spans="1:8" x14ac:dyDescent="0.2">
      <c r="A69" s="2" t="s">
        <v>4</v>
      </c>
      <c r="B69" s="2">
        <v>2017</v>
      </c>
      <c r="C69" s="2">
        <v>1</v>
      </c>
      <c r="D69" s="7">
        <v>25.98</v>
      </c>
      <c r="E69" s="7">
        <v>2.75</v>
      </c>
      <c r="F69" s="2">
        <v>3</v>
      </c>
      <c r="G69" s="2">
        <v>76</v>
      </c>
      <c r="H69" s="5">
        <f>90/3</f>
        <v>30</v>
      </c>
    </row>
    <row r="70" spans="1:8" x14ac:dyDescent="0.2">
      <c r="A70" s="2" t="s">
        <v>66</v>
      </c>
      <c r="B70" s="2">
        <v>2017</v>
      </c>
      <c r="C70" s="2">
        <v>2</v>
      </c>
      <c r="D70" s="7">
        <v>27.27</v>
      </c>
      <c r="E70" s="7">
        <v>3.93</v>
      </c>
      <c r="F70" s="2">
        <v>3</v>
      </c>
      <c r="G70" s="2">
        <v>21</v>
      </c>
      <c r="H70" s="5">
        <f>23/3</f>
        <v>7.666666666666667</v>
      </c>
    </row>
    <row r="71" spans="1:8" x14ac:dyDescent="0.2">
      <c r="A71" s="2" t="s">
        <v>1</v>
      </c>
      <c r="B71" s="2">
        <v>2017</v>
      </c>
      <c r="C71" s="2">
        <v>2</v>
      </c>
      <c r="D71" s="7">
        <v>26.72</v>
      </c>
      <c r="E71" s="7">
        <v>4.63</v>
      </c>
      <c r="F71" s="2">
        <v>1</v>
      </c>
      <c r="G71" s="2">
        <v>11</v>
      </c>
      <c r="H71" s="5">
        <f>15/1</f>
        <v>15</v>
      </c>
    </row>
    <row r="72" spans="1:8" x14ac:dyDescent="0.2">
      <c r="A72" s="2" t="s">
        <v>6</v>
      </c>
      <c r="B72" s="2">
        <v>2017</v>
      </c>
      <c r="C72" s="2">
        <v>2</v>
      </c>
      <c r="D72" s="7">
        <v>25.09</v>
      </c>
      <c r="E72" s="7">
        <v>7.0000000000000007E-2</v>
      </c>
      <c r="F72" s="2">
        <v>1</v>
      </c>
      <c r="G72" s="2">
        <v>15</v>
      </c>
      <c r="H72" s="5">
        <f>22/1</f>
        <v>22</v>
      </c>
    </row>
    <row r="73" spans="1:8" x14ac:dyDescent="0.2">
      <c r="A73" s="2" t="s">
        <v>21</v>
      </c>
      <c r="B73" s="2">
        <v>2017</v>
      </c>
      <c r="C73" s="2">
        <v>2</v>
      </c>
      <c r="D73" s="7">
        <v>22.74</v>
      </c>
      <c r="E73" s="7">
        <v>1.53</v>
      </c>
      <c r="F73" s="2">
        <v>2</v>
      </c>
      <c r="G73" s="2">
        <v>25</v>
      </c>
      <c r="H73" s="5">
        <f>27/2</f>
        <v>13.5</v>
      </c>
    </row>
    <row r="74" spans="1:8" x14ac:dyDescent="0.2">
      <c r="A74" s="2" t="s">
        <v>68</v>
      </c>
      <c r="B74" s="2">
        <v>2017</v>
      </c>
      <c r="C74" s="2">
        <v>3</v>
      </c>
      <c r="D74" s="7">
        <v>25.01</v>
      </c>
      <c r="E74" s="7">
        <v>1.66</v>
      </c>
      <c r="F74" s="2">
        <v>2</v>
      </c>
      <c r="G74" s="2">
        <v>2</v>
      </c>
      <c r="H74" s="5">
        <f>22/2</f>
        <v>11</v>
      </c>
    </row>
    <row r="75" spans="1:8" x14ac:dyDescent="0.2">
      <c r="A75" s="2" t="s">
        <v>44</v>
      </c>
      <c r="B75" s="2">
        <v>2017</v>
      </c>
      <c r="C75" s="2">
        <v>3</v>
      </c>
      <c r="D75" s="7">
        <v>23.83</v>
      </c>
      <c r="E75" s="7">
        <v>0.7</v>
      </c>
      <c r="F75" s="2">
        <v>4</v>
      </c>
      <c r="G75" s="2">
        <v>33</v>
      </c>
      <c r="H75" s="5">
        <f>34/4</f>
        <v>8.5</v>
      </c>
    </row>
    <row r="76" spans="1:8" x14ac:dyDescent="0.2">
      <c r="A76" s="2" t="s">
        <v>24</v>
      </c>
      <c r="B76" s="2">
        <v>2017</v>
      </c>
      <c r="C76" s="2">
        <v>3</v>
      </c>
      <c r="D76" s="7">
        <v>22.95</v>
      </c>
      <c r="E76" s="7">
        <v>-4.4400000000000004</v>
      </c>
      <c r="F76" s="2">
        <v>2</v>
      </c>
      <c r="G76" s="2">
        <v>18</v>
      </c>
      <c r="H76" s="5">
        <f>29/2</f>
        <v>14.5</v>
      </c>
    </row>
    <row r="77" spans="1:8" x14ac:dyDescent="0.2">
      <c r="A77" s="2" t="s">
        <v>69</v>
      </c>
      <c r="B77" s="2">
        <v>2017</v>
      </c>
      <c r="C77" s="2">
        <v>3</v>
      </c>
      <c r="D77" s="7">
        <v>22.74</v>
      </c>
      <c r="E77" s="7">
        <v>-3.6</v>
      </c>
      <c r="F77" s="2">
        <v>1</v>
      </c>
      <c r="G77" s="2">
        <v>-19</v>
      </c>
      <c r="H77" s="5">
        <f>6/1</f>
        <v>6</v>
      </c>
    </row>
    <row r="78" spans="1:8" x14ac:dyDescent="0.2">
      <c r="A78" s="2" t="s">
        <v>77</v>
      </c>
      <c r="B78" s="2">
        <v>2017</v>
      </c>
      <c r="C78" s="2">
        <v>4</v>
      </c>
      <c r="D78" s="7">
        <v>26.8</v>
      </c>
      <c r="E78" s="7">
        <v>-7.91</v>
      </c>
      <c r="F78" s="2">
        <v>2</v>
      </c>
      <c r="G78" s="2">
        <v>15</v>
      </c>
      <c r="H78" s="5">
        <f>18/2</f>
        <v>9</v>
      </c>
    </row>
    <row r="79" spans="1:8" x14ac:dyDescent="0.2">
      <c r="A79" s="2" t="s">
        <v>9</v>
      </c>
      <c r="B79" s="2">
        <v>2017</v>
      </c>
      <c r="C79" s="2">
        <v>4</v>
      </c>
      <c r="D79" s="7">
        <v>26.39</v>
      </c>
      <c r="E79" s="7">
        <v>8.8800000000000008</v>
      </c>
      <c r="F79" s="2">
        <v>3</v>
      </c>
      <c r="G79" s="2">
        <v>35</v>
      </c>
      <c r="H79" s="5">
        <f>42/3</f>
        <v>14</v>
      </c>
    </row>
    <row r="80" spans="1:8" x14ac:dyDescent="0.2">
      <c r="A80" s="2" t="s">
        <v>74</v>
      </c>
      <c r="B80" s="2">
        <v>2017</v>
      </c>
      <c r="C80" s="2">
        <v>4</v>
      </c>
      <c r="D80" s="7">
        <v>24.22</v>
      </c>
      <c r="E80" s="7">
        <v>-1.94</v>
      </c>
      <c r="F80" s="2">
        <v>2</v>
      </c>
      <c r="G80" s="2">
        <v>-18</v>
      </c>
      <c r="H80" s="5">
        <f>14/2</f>
        <v>7</v>
      </c>
    </row>
    <row r="81" spans="1:8" x14ac:dyDescent="0.2">
      <c r="A81" s="2" t="s">
        <v>23</v>
      </c>
      <c r="B81" s="2">
        <v>2017</v>
      </c>
      <c r="C81" s="2">
        <v>4</v>
      </c>
      <c r="D81" s="7">
        <v>20.91</v>
      </c>
      <c r="E81" s="7">
        <v>5.39</v>
      </c>
      <c r="F81" s="2">
        <v>2</v>
      </c>
      <c r="G81" s="2">
        <v>9</v>
      </c>
      <c r="H81" s="5">
        <f>21/2</f>
        <v>10.5</v>
      </c>
    </row>
    <row r="82" spans="1:8" x14ac:dyDescent="0.2">
      <c r="A82" s="2" t="s">
        <v>75</v>
      </c>
      <c r="B82" s="2">
        <v>2017</v>
      </c>
      <c r="C82" s="2">
        <v>5</v>
      </c>
      <c r="D82" s="7">
        <v>26.67</v>
      </c>
      <c r="E82" s="7">
        <v>2.76</v>
      </c>
      <c r="F82" s="2">
        <v>1</v>
      </c>
      <c r="G82" s="2">
        <v>-21</v>
      </c>
      <c r="H82" s="5">
        <f>5/1</f>
        <v>5</v>
      </c>
    </row>
    <row r="83" spans="1:8" x14ac:dyDescent="0.2">
      <c r="A83" s="2" t="s">
        <v>36</v>
      </c>
      <c r="B83" s="2">
        <v>2017</v>
      </c>
      <c r="C83" s="2">
        <v>5</v>
      </c>
      <c r="D83" s="7">
        <v>23.11</v>
      </c>
      <c r="E83" s="7">
        <v>-0.21</v>
      </c>
      <c r="F83" s="2">
        <v>1</v>
      </c>
      <c r="G83" s="2">
        <v>7</v>
      </c>
      <c r="H83" s="5">
        <f>11/1</f>
        <v>11</v>
      </c>
    </row>
    <row r="84" spans="1:8" x14ac:dyDescent="0.2">
      <c r="A84" s="2" t="s">
        <v>26</v>
      </c>
      <c r="B84" s="2">
        <v>2017</v>
      </c>
      <c r="C84" s="2">
        <v>5</v>
      </c>
      <c r="D84" s="7">
        <v>21.09</v>
      </c>
      <c r="E84" s="7">
        <v>-3.96</v>
      </c>
      <c r="F84" s="2">
        <v>1</v>
      </c>
      <c r="G84" s="2">
        <v>-10</v>
      </c>
      <c r="H84" s="5">
        <f>2/1</f>
        <v>2</v>
      </c>
    </row>
    <row r="85" spans="1:8" x14ac:dyDescent="0.2">
      <c r="A85" s="2" t="s">
        <v>40</v>
      </c>
      <c r="B85" s="2">
        <v>2017</v>
      </c>
      <c r="C85" s="2">
        <v>5</v>
      </c>
      <c r="D85" s="7">
        <v>16.59</v>
      </c>
      <c r="E85" s="7">
        <v>-1.37</v>
      </c>
      <c r="F85" s="2">
        <v>0</v>
      </c>
      <c r="G85" s="2">
        <v>-9</v>
      </c>
      <c r="H85" s="5">
        <v>0</v>
      </c>
    </row>
    <row r="86" spans="1:8" x14ac:dyDescent="0.2">
      <c r="A86" s="2" t="s">
        <v>966</v>
      </c>
      <c r="B86" s="2">
        <v>2017</v>
      </c>
      <c r="C86" s="2">
        <v>6</v>
      </c>
      <c r="D86" s="7">
        <v>25.27</v>
      </c>
      <c r="E86" s="7">
        <v>-1.21</v>
      </c>
      <c r="F86" s="2">
        <v>0</v>
      </c>
      <c r="G86" s="2">
        <v>-1</v>
      </c>
      <c r="H86" s="5">
        <v>0</v>
      </c>
    </row>
    <row r="87" spans="1:8" x14ac:dyDescent="0.2">
      <c r="A87" s="2" t="s">
        <v>37</v>
      </c>
      <c r="B87" s="2">
        <v>2017</v>
      </c>
      <c r="C87" s="2">
        <v>6</v>
      </c>
      <c r="D87" s="7">
        <v>22.32</v>
      </c>
      <c r="E87" s="7">
        <v>-0.19</v>
      </c>
      <c r="F87" s="2">
        <v>1</v>
      </c>
      <c r="G87" s="2">
        <v>2</v>
      </c>
      <c r="H87" s="5">
        <f>14/1</f>
        <v>14</v>
      </c>
    </row>
    <row r="88" spans="1:8" x14ac:dyDescent="0.2">
      <c r="A88" s="2" t="s">
        <v>25</v>
      </c>
      <c r="B88" s="2">
        <v>2017</v>
      </c>
      <c r="C88" s="2">
        <v>6</v>
      </c>
      <c r="D88" s="7">
        <v>19.59</v>
      </c>
      <c r="E88" s="7">
        <v>-1.25</v>
      </c>
      <c r="F88" s="2">
        <v>0</v>
      </c>
      <c r="G88" s="2">
        <v>-12</v>
      </c>
      <c r="H88" s="5">
        <v>0</v>
      </c>
    </row>
    <row r="89" spans="1:8" x14ac:dyDescent="0.2">
      <c r="A89" s="2" t="s">
        <v>303</v>
      </c>
      <c r="B89" s="2">
        <v>2017</v>
      </c>
      <c r="C89" s="2">
        <v>6</v>
      </c>
      <c r="D89" s="7">
        <v>14.83</v>
      </c>
      <c r="E89" s="7">
        <v>-0.93</v>
      </c>
      <c r="F89" s="2">
        <v>0</v>
      </c>
      <c r="G89" s="2">
        <v>-11</v>
      </c>
      <c r="H89" s="5">
        <v>0</v>
      </c>
    </row>
    <row r="90" spans="1:8" x14ac:dyDescent="0.2">
      <c r="A90" s="2" t="s">
        <v>41</v>
      </c>
      <c r="B90" s="2">
        <v>2017</v>
      </c>
      <c r="C90" s="2">
        <v>7</v>
      </c>
      <c r="D90" s="7">
        <v>24.64</v>
      </c>
      <c r="E90" s="7">
        <v>-4.2699999999999996</v>
      </c>
      <c r="F90" s="2">
        <v>1</v>
      </c>
      <c r="G90" s="2">
        <v>-1</v>
      </c>
      <c r="H90" s="5">
        <f>8/1</f>
        <v>8</v>
      </c>
    </row>
    <row r="91" spans="1:8" x14ac:dyDescent="0.2">
      <c r="A91" s="2" t="s">
        <v>13</v>
      </c>
      <c r="B91" s="2">
        <v>2017</v>
      </c>
      <c r="C91" s="2">
        <v>7</v>
      </c>
      <c r="D91" s="7">
        <v>22.62</v>
      </c>
      <c r="E91" s="7">
        <v>-0.32</v>
      </c>
      <c r="F91" s="2">
        <v>2</v>
      </c>
      <c r="G91" s="2">
        <v>4</v>
      </c>
      <c r="H91" s="5">
        <f>5/2</f>
        <v>2.5</v>
      </c>
    </row>
    <row r="92" spans="1:8" x14ac:dyDescent="0.2">
      <c r="A92" s="2" t="s">
        <v>756</v>
      </c>
      <c r="B92" s="2">
        <v>2017</v>
      </c>
      <c r="C92" s="2">
        <v>7</v>
      </c>
      <c r="D92" s="7">
        <v>17.03</v>
      </c>
      <c r="E92" s="7">
        <v>2.35</v>
      </c>
      <c r="F92" s="2">
        <v>4</v>
      </c>
      <c r="G92" s="2">
        <v>50</v>
      </c>
      <c r="H92" s="5">
        <f>54/4</f>
        <v>13.5</v>
      </c>
    </row>
    <row r="93" spans="1:8" x14ac:dyDescent="0.2">
      <c r="A93" s="2" t="s">
        <v>385</v>
      </c>
      <c r="B93" s="2">
        <v>2017</v>
      </c>
      <c r="C93" s="2">
        <v>7</v>
      </c>
      <c r="D93" s="7">
        <v>15.67</v>
      </c>
      <c r="E93" s="7">
        <v>2.9</v>
      </c>
      <c r="F93" s="2">
        <v>0</v>
      </c>
      <c r="G93" s="2">
        <v>-6</v>
      </c>
      <c r="H93" s="5">
        <v>0</v>
      </c>
    </row>
    <row r="94" spans="1:8" x14ac:dyDescent="0.2">
      <c r="A94" s="2" t="s">
        <v>17</v>
      </c>
      <c r="B94" s="2">
        <v>2017</v>
      </c>
      <c r="C94" s="2">
        <v>8</v>
      </c>
      <c r="D94" s="7">
        <v>22.29</v>
      </c>
      <c r="E94" s="7">
        <v>-0.93</v>
      </c>
      <c r="F94" s="2">
        <v>2</v>
      </c>
      <c r="G94" s="2">
        <v>12</v>
      </c>
      <c r="H94" s="5">
        <f>13/2</f>
        <v>6.5</v>
      </c>
    </row>
    <row r="95" spans="1:8" x14ac:dyDescent="0.2">
      <c r="A95" s="2" t="s">
        <v>8</v>
      </c>
      <c r="B95" s="2">
        <v>2017</v>
      </c>
      <c r="C95" s="2">
        <v>8</v>
      </c>
      <c r="D95" s="7">
        <v>16.96</v>
      </c>
      <c r="E95" s="7">
        <v>-4.0599999999999996</v>
      </c>
      <c r="F95" s="2">
        <v>0</v>
      </c>
      <c r="G95" s="2">
        <v>-20</v>
      </c>
      <c r="H95" s="5">
        <v>0</v>
      </c>
    </row>
    <row r="96" spans="1:8" x14ac:dyDescent="0.2">
      <c r="A96" s="2" t="s">
        <v>462</v>
      </c>
      <c r="B96" s="2">
        <v>2017</v>
      </c>
      <c r="C96" s="2">
        <v>8</v>
      </c>
      <c r="D96" s="7">
        <v>15.6</v>
      </c>
      <c r="E96" s="7">
        <v>-1.19</v>
      </c>
      <c r="F96" s="2">
        <v>1</v>
      </c>
      <c r="G96" s="2">
        <v>-1</v>
      </c>
      <c r="H96" s="5">
        <f>6/1</f>
        <v>6</v>
      </c>
    </row>
    <row r="97" spans="1:8" x14ac:dyDescent="0.2">
      <c r="A97" s="2" t="s">
        <v>1182</v>
      </c>
      <c r="B97" s="2">
        <v>2017</v>
      </c>
      <c r="C97" s="2">
        <v>8</v>
      </c>
      <c r="D97" s="7">
        <v>15.51</v>
      </c>
      <c r="E97" s="7">
        <v>-2.82</v>
      </c>
      <c r="F97" s="2">
        <v>1</v>
      </c>
      <c r="G97" s="2">
        <v>-4</v>
      </c>
      <c r="H97" s="5">
        <f>2/1</f>
        <v>2</v>
      </c>
    </row>
    <row r="98" spans="1:8" x14ac:dyDescent="0.2">
      <c r="A98" s="2" t="s">
        <v>70</v>
      </c>
      <c r="B98" s="2">
        <v>2017</v>
      </c>
      <c r="C98" s="2">
        <v>9</v>
      </c>
      <c r="D98" s="7">
        <v>16.239999999999998</v>
      </c>
      <c r="E98" s="7">
        <v>6.6</v>
      </c>
      <c r="F98" s="2">
        <v>0</v>
      </c>
      <c r="G98" s="2">
        <v>-2</v>
      </c>
      <c r="H98" s="5">
        <v>0</v>
      </c>
    </row>
    <row r="99" spans="1:8" x14ac:dyDescent="0.2">
      <c r="A99" s="2" t="s">
        <v>10</v>
      </c>
      <c r="B99" s="2">
        <v>2017</v>
      </c>
      <c r="C99" s="2">
        <v>9</v>
      </c>
      <c r="D99" s="7">
        <v>14.98</v>
      </c>
      <c r="E99" s="7">
        <v>4.2</v>
      </c>
      <c r="F99" s="2">
        <v>1</v>
      </c>
      <c r="G99" s="2">
        <v>0</v>
      </c>
      <c r="H99" s="5">
        <f>20/1</f>
        <v>20</v>
      </c>
    </row>
    <row r="100" spans="1:8" x14ac:dyDescent="0.2">
      <c r="A100" s="2" t="s">
        <v>537</v>
      </c>
      <c r="B100" s="2">
        <v>2017</v>
      </c>
      <c r="C100" s="2">
        <v>9</v>
      </c>
      <c r="D100" s="7">
        <v>14.94</v>
      </c>
      <c r="E100" s="7">
        <v>-7.68</v>
      </c>
      <c r="F100" s="2">
        <v>0</v>
      </c>
      <c r="G100" s="2">
        <v>-10</v>
      </c>
      <c r="H100" s="5">
        <v>0</v>
      </c>
    </row>
    <row r="101" spans="1:8" x14ac:dyDescent="0.2">
      <c r="A101" s="2" t="s">
        <v>617</v>
      </c>
      <c r="B101" s="2">
        <v>2017</v>
      </c>
      <c r="C101" s="2">
        <v>9</v>
      </c>
      <c r="D101" s="7">
        <v>13.95</v>
      </c>
      <c r="E101" s="7">
        <v>-2.11</v>
      </c>
      <c r="F101" s="2">
        <v>0</v>
      </c>
      <c r="G101" s="2">
        <v>-6</v>
      </c>
      <c r="H101" s="5">
        <v>0</v>
      </c>
    </row>
    <row r="102" spans="1:8" x14ac:dyDescent="0.2">
      <c r="A102" s="2" t="s">
        <v>32</v>
      </c>
      <c r="B102" s="2">
        <v>2017</v>
      </c>
      <c r="C102" s="2">
        <v>10</v>
      </c>
      <c r="D102" s="7">
        <v>26.41</v>
      </c>
      <c r="E102" s="7">
        <v>-0.02</v>
      </c>
      <c r="F102" s="2">
        <v>1</v>
      </c>
      <c r="G102" s="2">
        <v>3</v>
      </c>
      <c r="H102" s="5">
        <f>6/1</f>
        <v>6</v>
      </c>
    </row>
    <row r="103" spans="1:8" x14ac:dyDescent="0.2">
      <c r="A103" s="2" t="s">
        <v>19</v>
      </c>
      <c r="B103" s="2">
        <v>2017</v>
      </c>
      <c r="C103" s="2">
        <v>10</v>
      </c>
      <c r="D103" s="7">
        <v>22.1</v>
      </c>
      <c r="E103" s="7">
        <v>3.02</v>
      </c>
      <c r="F103" s="2">
        <v>0</v>
      </c>
      <c r="G103" s="2">
        <v>-1</v>
      </c>
      <c r="H103" s="5">
        <v>0</v>
      </c>
    </row>
    <row r="104" spans="1:8" x14ac:dyDescent="0.2">
      <c r="A104" s="2" t="s">
        <v>12</v>
      </c>
      <c r="B104" s="2">
        <v>2017</v>
      </c>
      <c r="C104" s="2">
        <v>10</v>
      </c>
      <c r="D104" s="7">
        <v>17.57</v>
      </c>
      <c r="E104" s="7">
        <v>-1.82</v>
      </c>
      <c r="F104" s="2">
        <v>0</v>
      </c>
      <c r="G104" s="2">
        <v>-20</v>
      </c>
      <c r="H104" s="5">
        <v>0</v>
      </c>
    </row>
    <row r="105" spans="1:8" x14ac:dyDescent="0.2">
      <c r="A105" s="2" t="s">
        <v>18</v>
      </c>
      <c r="B105" s="2">
        <v>2017</v>
      </c>
      <c r="C105" s="2">
        <v>10</v>
      </c>
      <c r="D105" s="7">
        <v>14.31</v>
      </c>
      <c r="E105" s="7">
        <v>1.1299999999999999</v>
      </c>
      <c r="F105" s="2">
        <v>0</v>
      </c>
      <c r="G105" s="2">
        <v>-8</v>
      </c>
      <c r="H105" s="5">
        <v>0</v>
      </c>
    </row>
    <row r="106" spans="1:8" x14ac:dyDescent="0.2">
      <c r="A106" s="2" t="s">
        <v>16</v>
      </c>
      <c r="B106" s="2">
        <v>2017</v>
      </c>
      <c r="C106" s="2">
        <v>11</v>
      </c>
      <c r="D106" s="7">
        <v>17.55</v>
      </c>
      <c r="E106" s="7">
        <v>-4.88</v>
      </c>
      <c r="F106" s="2">
        <v>0</v>
      </c>
      <c r="G106" s="2">
        <v>-14</v>
      </c>
      <c r="H106" s="5">
        <v>0</v>
      </c>
    </row>
    <row r="107" spans="1:8" x14ac:dyDescent="0.2">
      <c r="A107" s="2" t="s">
        <v>1181</v>
      </c>
      <c r="B107" s="2">
        <v>2017</v>
      </c>
      <c r="C107" s="2">
        <v>11</v>
      </c>
      <c r="D107" s="7">
        <v>15.62</v>
      </c>
      <c r="E107" s="7">
        <v>2.0499999999999998</v>
      </c>
      <c r="F107" s="2">
        <v>1</v>
      </c>
      <c r="G107" s="2">
        <v>9</v>
      </c>
      <c r="H107" s="5">
        <f>12/1</f>
        <v>12</v>
      </c>
    </row>
    <row r="108" spans="1:8" x14ac:dyDescent="0.2">
      <c r="A108" s="2" t="s">
        <v>76</v>
      </c>
      <c r="B108" s="2">
        <v>2017</v>
      </c>
      <c r="C108" s="2">
        <v>11</v>
      </c>
      <c r="D108" s="7">
        <v>15.32</v>
      </c>
      <c r="E108" s="7">
        <v>5.82</v>
      </c>
      <c r="F108" s="2">
        <v>3</v>
      </c>
      <c r="G108" s="2">
        <v>14</v>
      </c>
      <c r="H108" s="5">
        <f>38/3</f>
        <v>12.666666666666666</v>
      </c>
    </row>
    <row r="109" spans="1:8" x14ac:dyDescent="0.2">
      <c r="A109" s="2" t="s">
        <v>384</v>
      </c>
      <c r="B109" s="2">
        <v>2017</v>
      </c>
      <c r="C109" s="2">
        <v>11</v>
      </c>
      <c r="D109" s="7">
        <v>12.34</v>
      </c>
      <c r="E109" s="7">
        <v>-3.12</v>
      </c>
      <c r="F109" s="2">
        <v>1</v>
      </c>
      <c r="G109" s="2">
        <v>-3</v>
      </c>
      <c r="H109" s="5">
        <f>1/1</f>
        <v>1</v>
      </c>
    </row>
    <row r="110" spans="1:8" x14ac:dyDescent="0.2">
      <c r="A110" s="2" t="s">
        <v>1074</v>
      </c>
      <c r="B110" s="2">
        <v>2017</v>
      </c>
      <c r="C110" s="2">
        <v>12</v>
      </c>
      <c r="D110" s="7">
        <v>14.65</v>
      </c>
      <c r="E110" s="7">
        <v>4.13</v>
      </c>
      <c r="F110" s="2">
        <v>1</v>
      </c>
      <c r="G110" s="2">
        <v>0</v>
      </c>
      <c r="H110" s="5">
        <f>9/1</f>
        <v>9</v>
      </c>
    </row>
    <row r="111" spans="1:8" x14ac:dyDescent="0.2">
      <c r="A111" s="2" t="s">
        <v>538</v>
      </c>
      <c r="B111" s="2">
        <v>2017</v>
      </c>
      <c r="C111" s="2">
        <v>12</v>
      </c>
      <c r="D111" s="7">
        <v>13.34</v>
      </c>
      <c r="E111" s="7">
        <v>-0.96</v>
      </c>
      <c r="F111" s="2">
        <v>0</v>
      </c>
      <c r="G111" s="2">
        <v>-11</v>
      </c>
      <c r="H111" s="5">
        <v>0</v>
      </c>
    </row>
    <row r="112" spans="1:8" x14ac:dyDescent="0.2">
      <c r="A112" s="2" t="s">
        <v>232</v>
      </c>
      <c r="B112" s="2">
        <v>2017</v>
      </c>
      <c r="C112" s="2">
        <v>12</v>
      </c>
      <c r="D112" s="7">
        <v>12.5</v>
      </c>
      <c r="E112" s="7">
        <v>2.5099999999999998</v>
      </c>
      <c r="F112" s="2">
        <v>0</v>
      </c>
      <c r="G112" s="2">
        <v>-2</v>
      </c>
      <c r="H112" s="5">
        <v>0</v>
      </c>
    </row>
    <row r="113" spans="1:8" x14ac:dyDescent="0.2">
      <c r="A113" s="2" t="s">
        <v>1067</v>
      </c>
      <c r="B113" s="2">
        <v>2017</v>
      </c>
      <c r="C113" s="2">
        <v>12</v>
      </c>
      <c r="D113" s="7">
        <v>12.39</v>
      </c>
      <c r="E113" s="7">
        <v>2.46</v>
      </c>
      <c r="F113" s="2">
        <v>0</v>
      </c>
      <c r="G113" s="2">
        <v>-5</v>
      </c>
      <c r="H113" s="5">
        <v>0</v>
      </c>
    </row>
    <row r="114" spans="1:8" x14ac:dyDescent="0.2">
      <c r="A114" s="2" t="s">
        <v>88</v>
      </c>
      <c r="B114" s="2">
        <v>2017</v>
      </c>
      <c r="C114" s="2">
        <v>13</v>
      </c>
      <c r="D114" s="7">
        <v>11.88</v>
      </c>
      <c r="E114" s="7">
        <v>1.86</v>
      </c>
      <c r="F114" s="2">
        <v>0</v>
      </c>
      <c r="G114" s="2">
        <v>-10</v>
      </c>
      <c r="H114" s="5">
        <v>0</v>
      </c>
    </row>
    <row r="115" spans="1:8" x14ac:dyDescent="0.2">
      <c r="A115" s="2" t="s">
        <v>315</v>
      </c>
      <c r="B115" s="2">
        <v>2017</v>
      </c>
      <c r="C115" s="2">
        <v>13</v>
      </c>
      <c r="D115" s="7">
        <v>11.49</v>
      </c>
      <c r="E115" s="7">
        <v>0.55000000000000004</v>
      </c>
      <c r="F115" s="2">
        <v>0</v>
      </c>
      <c r="G115" s="2">
        <v>-15</v>
      </c>
      <c r="H115" s="5">
        <v>0</v>
      </c>
    </row>
    <row r="116" spans="1:8" x14ac:dyDescent="0.2">
      <c r="A116" s="2" t="s">
        <v>43</v>
      </c>
      <c r="B116" s="2">
        <v>2017</v>
      </c>
      <c r="C116" s="2">
        <v>13</v>
      </c>
      <c r="D116" s="7">
        <v>8.7200000000000006</v>
      </c>
      <c r="E116" s="7">
        <v>1.1000000000000001</v>
      </c>
      <c r="F116" s="2">
        <v>0</v>
      </c>
      <c r="G116" s="2">
        <v>-6</v>
      </c>
      <c r="H116" s="5">
        <v>0</v>
      </c>
    </row>
    <row r="117" spans="1:8" x14ac:dyDescent="0.2">
      <c r="A117" s="2" t="s">
        <v>468</v>
      </c>
      <c r="B117" s="2">
        <v>2017</v>
      </c>
      <c r="C117" s="2">
        <v>13</v>
      </c>
      <c r="D117" s="7">
        <v>4.63</v>
      </c>
      <c r="E117" s="7">
        <v>2.58</v>
      </c>
      <c r="F117" s="2">
        <v>0</v>
      </c>
      <c r="G117" s="2">
        <v>-12</v>
      </c>
      <c r="H117" s="5">
        <v>0</v>
      </c>
    </row>
    <row r="118" spans="1:8" x14ac:dyDescent="0.2">
      <c r="A118" s="2" t="s">
        <v>49</v>
      </c>
      <c r="B118" s="2">
        <v>2017</v>
      </c>
      <c r="C118" s="2">
        <v>14</v>
      </c>
      <c r="D118" s="7">
        <v>7.32</v>
      </c>
      <c r="E118" s="7">
        <v>-4.5</v>
      </c>
      <c r="F118" s="2">
        <v>0</v>
      </c>
      <c r="G118" s="2">
        <v>-18</v>
      </c>
      <c r="H118" s="5">
        <v>0</v>
      </c>
    </row>
    <row r="119" spans="1:8" x14ac:dyDescent="0.2">
      <c r="A119" s="2" t="s">
        <v>54</v>
      </c>
      <c r="B119" s="2">
        <v>2017</v>
      </c>
      <c r="C119" s="2">
        <v>14</v>
      </c>
      <c r="D119" s="7">
        <v>5.01</v>
      </c>
      <c r="E119" s="7">
        <v>2.69</v>
      </c>
      <c r="F119" s="2">
        <v>0</v>
      </c>
      <c r="G119" s="2">
        <v>-6</v>
      </c>
      <c r="H119" s="5">
        <v>0</v>
      </c>
    </row>
    <row r="120" spans="1:8" x14ac:dyDescent="0.2">
      <c r="A120" s="2" t="s">
        <v>55</v>
      </c>
      <c r="B120" s="2">
        <v>2017</v>
      </c>
      <c r="C120" s="2">
        <v>14</v>
      </c>
      <c r="D120" s="7">
        <v>4</v>
      </c>
      <c r="E120" s="7">
        <v>0.27</v>
      </c>
      <c r="F120" s="2">
        <v>0</v>
      </c>
      <c r="G120" s="2">
        <v>-16</v>
      </c>
      <c r="H120" s="5">
        <v>0</v>
      </c>
    </row>
    <row r="121" spans="1:8" x14ac:dyDescent="0.2">
      <c r="A121" s="2" t="s">
        <v>463</v>
      </c>
      <c r="B121" s="2">
        <v>2017</v>
      </c>
      <c r="C121" s="2">
        <v>14</v>
      </c>
      <c r="D121" s="7">
        <v>1.73</v>
      </c>
      <c r="E121" s="7">
        <v>-5.53</v>
      </c>
      <c r="F121" s="2">
        <v>0</v>
      </c>
      <c r="G121" s="2">
        <v>-17</v>
      </c>
      <c r="H121" s="5">
        <v>0</v>
      </c>
    </row>
    <row r="122" spans="1:8" x14ac:dyDescent="0.2">
      <c r="A122" s="2" t="s">
        <v>904</v>
      </c>
      <c r="B122" s="2">
        <v>2017</v>
      </c>
      <c r="C122" s="2">
        <v>15</v>
      </c>
      <c r="D122" s="7">
        <v>2.67</v>
      </c>
      <c r="E122" s="7">
        <v>-6.66</v>
      </c>
      <c r="F122" s="2">
        <v>0</v>
      </c>
      <c r="G122" s="2">
        <v>-22</v>
      </c>
      <c r="H122" s="5">
        <v>0</v>
      </c>
    </row>
    <row r="123" spans="1:8" x14ac:dyDescent="0.2">
      <c r="A123" s="2" t="s">
        <v>1186</v>
      </c>
      <c r="B123" s="2">
        <v>2017</v>
      </c>
      <c r="C123" s="2">
        <v>15</v>
      </c>
      <c r="D123" s="7">
        <v>1.34</v>
      </c>
      <c r="E123" s="7">
        <v>-2.27</v>
      </c>
      <c r="F123" s="2">
        <v>0</v>
      </c>
      <c r="G123" s="2">
        <v>-9</v>
      </c>
      <c r="H123" s="5">
        <v>0</v>
      </c>
    </row>
    <row r="124" spans="1:8" x14ac:dyDescent="0.2">
      <c r="A124" s="2" t="s">
        <v>1187</v>
      </c>
      <c r="B124" s="2">
        <v>2017</v>
      </c>
      <c r="C124" s="2">
        <v>15</v>
      </c>
      <c r="D124" s="7">
        <v>0.57999999999999996</v>
      </c>
      <c r="E124" s="7">
        <v>1.07</v>
      </c>
      <c r="F124" s="2">
        <v>0</v>
      </c>
      <c r="G124" s="2">
        <v>-15</v>
      </c>
      <c r="H124" s="5">
        <v>0</v>
      </c>
    </row>
    <row r="125" spans="1:8" x14ac:dyDescent="0.2">
      <c r="A125" s="2" t="s">
        <v>1185</v>
      </c>
      <c r="B125" s="2">
        <v>2017</v>
      </c>
      <c r="C125" s="2">
        <v>15</v>
      </c>
      <c r="D125" s="7">
        <v>-0.32</v>
      </c>
      <c r="E125" s="7">
        <v>3.07</v>
      </c>
      <c r="F125" s="2">
        <v>0</v>
      </c>
      <c r="G125" s="2">
        <v>-18</v>
      </c>
      <c r="H125" s="5">
        <v>0</v>
      </c>
    </row>
    <row r="126" spans="1:8" x14ac:dyDescent="0.2">
      <c r="A126" s="2" t="s">
        <v>50</v>
      </c>
      <c r="B126" s="2">
        <v>2017</v>
      </c>
      <c r="C126" s="2">
        <v>16</v>
      </c>
      <c r="D126" s="7">
        <v>-1.33</v>
      </c>
      <c r="E126" s="7">
        <v>1.6</v>
      </c>
      <c r="F126" s="2">
        <v>0</v>
      </c>
      <c r="G126" s="2">
        <v>-20</v>
      </c>
      <c r="H126" s="5">
        <v>0</v>
      </c>
    </row>
    <row r="127" spans="1:8" x14ac:dyDescent="0.2">
      <c r="A127" s="2" t="s">
        <v>971</v>
      </c>
      <c r="B127" s="2">
        <v>2017</v>
      </c>
      <c r="C127" s="2">
        <v>16</v>
      </c>
      <c r="D127" s="7">
        <v>-3.66</v>
      </c>
      <c r="E127" s="7">
        <v>12.97</v>
      </c>
      <c r="F127" s="2">
        <v>0</v>
      </c>
      <c r="G127" s="2">
        <v>-39</v>
      </c>
      <c r="H127" s="5">
        <v>0</v>
      </c>
    </row>
    <row r="128" spans="1:8" x14ac:dyDescent="0.2">
      <c r="A128" s="2" t="s">
        <v>473</v>
      </c>
      <c r="B128" s="2">
        <v>2017</v>
      </c>
      <c r="C128" s="2">
        <v>16</v>
      </c>
      <c r="D128" s="7">
        <v>-4.2300000000000004</v>
      </c>
      <c r="E128" s="7">
        <v>11.64</v>
      </c>
      <c r="F128" s="2">
        <v>0</v>
      </c>
      <c r="G128" s="2">
        <v>-20</v>
      </c>
      <c r="H128" s="5">
        <v>0</v>
      </c>
    </row>
    <row r="129" spans="1:8" x14ac:dyDescent="0.2">
      <c r="A129" s="2" t="s">
        <v>1183</v>
      </c>
      <c r="B129" s="2">
        <v>2017</v>
      </c>
      <c r="C129" s="2">
        <v>16</v>
      </c>
      <c r="D129" s="7">
        <v>-4.76</v>
      </c>
      <c r="E129" s="7">
        <v>-1.19</v>
      </c>
      <c r="F129" s="2">
        <v>0</v>
      </c>
      <c r="G129" s="2">
        <v>-38</v>
      </c>
      <c r="H129" s="5">
        <v>0</v>
      </c>
    </row>
    <row r="130" spans="1:8" x14ac:dyDescent="0.2">
      <c r="A130" s="2" t="s">
        <v>4</v>
      </c>
      <c r="B130" s="2">
        <v>2016</v>
      </c>
      <c r="C130" s="2">
        <v>1</v>
      </c>
      <c r="D130" s="7">
        <v>29.7652</v>
      </c>
      <c r="E130" s="7">
        <v>6.52</v>
      </c>
      <c r="F130" s="2">
        <v>3</v>
      </c>
      <c r="G130" s="2">
        <v>49</v>
      </c>
      <c r="H130" s="5">
        <f>54 / 3</f>
        <v>18</v>
      </c>
    </row>
    <row r="131" spans="1:8" x14ac:dyDescent="0.2">
      <c r="A131" s="2" t="s">
        <v>75</v>
      </c>
      <c r="B131" s="2">
        <v>2016</v>
      </c>
      <c r="C131" s="2">
        <v>1</v>
      </c>
      <c r="D131" s="7">
        <v>29.105499999999999</v>
      </c>
      <c r="E131" s="7">
        <v>6.83</v>
      </c>
      <c r="F131" s="2">
        <v>3</v>
      </c>
      <c r="G131" s="2">
        <v>51</v>
      </c>
      <c r="H131" s="5">
        <f>57 / 3</f>
        <v>19</v>
      </c>
    </row>
    <row r="132" spans="1:8" x14ac:dyDescent="0.2">
      <c r="A132" s="2" t="s">
        <v>29</v>
      </c>
      <c r="B132" s="2">
        <v>2016</v>
      </c>
      <c r="C132" s="2">
        <v>1</v>
      </c>
      <c r="D132" s="7">
        <v>28.013100000000001</v>
      </c>
      <c r="E132" s="7">
        <v>5.1100000000000003</v>
      </c>
      <c r="F132" s="2">
        <v>5</v>
      </c>
      <c r="G132" s="2">
        <v>78</v>
      </c>
      <c r="H132" s="5">
        <f>81 / 5</f>
        <v>16.2</v>
      </c>
    </row>
    <row r="133" spans="1:8" x14ac:dyDescent="0.2">
      <c r="A133" s="2" t="s">
        <v>44</v>
      </c>
      <c r="B133" s="2">
        <v>2016</v>
      </c>
      <c r="C133" s="2">
        <v>1</v>
      </c>
      <c r="D133" s="7">
        <v>22.749300000000002</v>
      </c>
      <c r="E133" s="7">
        <v>3.33</v>
      </c>
      <c r="F133" s="2">
        <v>3</v>
      </c>
      <c r="G133" s="2">
        <v>46</v>
      </c>
      <c r="H133" s="5">
        <f>58 / 3</f>
        <v>19.333333333333332</v>
      </c>
    </row>
    <row r="134" spans="1:8" x14ac:dyDescent="0.2">
      <c r="A134" s="2" t="s">
        <v>10</v>
      </c>
      <c r="B134" s="2">
        <v>2016</v>
      </c>
      <c r="C134" s="2">
        <v>2</v>
      </c>
      <c r="D134" s="7">
        <v>29.583400000000001</v>
      </c>
      <c r="E134" s="7">
        <v>2.4500000000000002</v>
      </c>
      <c r="F134" s="2">
        <v>0</v>
      </c>
      <c r="G134" s="2">
        <v>-9</v>
      </c>
      <c r="H134" s="5">
        <v>0</v>
      </c>
    </row>
    <row r="135" spans="1:8" x14ac:dyDescent="0.2">
      <c r="A135" s="2" t="s">
        <v>34</v>
      </c>
      <c r="B135" s="2">
        <v>2016</v>
      </c>
      <c r="C135" s="2">
        <v>2</v>
      </c>
      <c r="D135" s="7">
        <v>26.704599999999999</v>
      </c>
      <c r="E135" s="7">
        <v>5.28</v>
      </c>
      <c r="F135" s="2">
        <v>6</v>
      </c>
      <c r="G135" s="2">
        <v>125</v>
      </c>
      <c r="H135" s="5">
        <f>125 / 6</f>
        <v>20.833333333333332</v>
      </c>
    </row>
    <row r="136" spans="1:8" x14ac:dyDescent="0.2">
      <c r="A136" s="2" t="s">
        <v>38</v>
      </c>
      <c r="B136" s="2">
        <v>2016</v>
      </c>
      <c r="C136" s="2">
        <v>2</v>
      </c>
      <c r="D136" s="7">
        <v>24.869900000000001</v>
      </c>
      <c r="E136" s="7">
        <v>3.64</v>
      </c>
      <c r="F136" s="2">
        <v>4</v>
      </c>
      <c r="G136" s="2">
        <v>0</v>
      </c>
      <c r="H136" s="5">
        <f>44 / 4</f>
        <v>11</v>
      </c>
    </row>
    <row r="137" spans="1:8" x14ac:dyDescent="0.2">
      <c r="A137" s="2" t="s">
        <v>76</v>
      </c>
      <c r="B137" s="2">
        <v>2016</v>
      </c>
      <c r="C137" s="2">
        <v>2</v>
      </c>
      <c r="D137" s="7">
        <v>21.700500000000002</v>
      </c>
      <c r="E137" s="7">
        <v>3.91</v>
      </c>
      <c r="F137" s="2">
        <v>1</v>
      </c>
      <c r="G137" s="2">
        <v>15</v>
      </c>
      <c r="H137" s="5">
        <v>18</v>
      </c>
    </row>
    <row r="138" spans="1:8" x14ac:dyDescent="0.2">
      <c r="A138" s="2" t="s">
        <v>77</v>
      </c>
      <c r="B138" s="2">
        <v>2016</v>
      </c>
      <c r="C138" s="2">
        <v>3</v>
      </c>
      <c r="D138" s="7">
        <v>25.919499999999999</v>
      </c>
      <c r="E138" s="7">
        <v>2.69</v>
      </c>
      <c r="F138" s="2">
        <v>0</v>
      </c>
      <c r="G138" s="2">
        <v>-14</v>
      </c>
      <c r="H138" s="5">
        <v>0</v>
      </c>
    </row>
    <row r="139" spans="1:8" x14ac:dyDescent="0.2">
      <c r="A139" s="2" t="s">
        <v>8</v>
      </c>
      <c r="B139" s="2">
        <v>2016</v>
      </c>
      <c r="C139" s="2">
        <v>3</v>
      </c>
      <c r="D139" s="7">
        <v>22.844000000000001</v>
      </c>
      <c r="E139" s="7">
        <v>5.04</v>
      </c>
      <c r="F139" s="2">
        <v>2</v>
      </c>
      <c r="G139" s="2">
        <v>-8</v>
      </c>
      <c r="H139" s="5">
        <f>15 / 2</f>
        <v>7.5</v>
      </c>
    </row>
    <row r="140" spans="1:8" x14ac:dyDescent="0.2">
      <c r="A140" s="2" t="s">
        <v>222</v>
      </c>
      <c r="B140" s="2">
        <v>2016</v>
      </c>
      <c r="C140" s="2">
        <v>3</v>
      </c>
      <c r="D140" s="7">
        <v>21.9331</v>
      </c>
      <c r="E140" s="7">
        <v>6.5</v>
      </c>
      <c r="F140" s="2">
        <v>2</v>
      </c>
      <c r="G140" s="2">
        <v>17</v>
      </c>
      <c r="H140" s="5">
        <f>31 / 2</f>
        <v>15.5</v>
      </c>
    </row>
    <row r="141" spans="1:8" x14ac:dyDescent="0.2">
      <c r="A141" s="2" t="s">
        <v>380</v>
      </c>
      <c r="B141" s="2">
        <v>2016</v>
      </c>
      <c r="C141" s="2">
        <v>3</v>
      </c>
      <c r="D141" s="7">
        <v>18.090399999999999</v>
      </c>
      <c r="E141" s="7">
        <v>4.8600000000000003</v>
      </c>
      <c r="F141" s="2">
        <v>1</v>
      </c>
      <c r="G141" s="2">
        <v>-12</v>
      </c>
      <c r="H141" s="5">
        <v>11</v>
      </c>
    </row>
    <row r="142" spans="1:8" x14ac:dyDescent="0.2">
      <c r="A142" s="2" t="s">
        <v>66</v>
      </c>
      <c r="B142" s="2">
        <v>2016</v>
      </c>
      <c r="C142" s="2">
        <v>4</v>
      </c>
      <c r="D142" s="7">
        <v>25.0533</v>
      </c>
      <c r="E142" s="7">
        <v>6.23</v>
      </c>
      <c r="F142" s="2">
        <v>1</v>
      </c>
      <c r="G142" s="2">
        <v>22</v>
      </c>
      <c r="H142" s="5">
        <v>28</v>
      </c>
    </row>
    <row r="143" spans="1:8" x14ac:dyDescent="0.2">
      <c r="A143" s="2" t="s">
        <v>6</v>
      </c>
      <c r="B143" s="2">
        <v>2016</v>
      </c>
      <c r="C143" s="2">
        <v>4</v>
      </c>
      <c r="D143" s="7">
        <v>22.0716</v>
      </c>
      <c r="E143" s="7">
        <v>7.42</v>
      </c>
      <c r="F143" s="2">
        <v>2</v>
      </c>
      <c r="G143" s="2">
        <v>1</v>
      </c>
      <c r="H143" s="5">
        <f>15 / 2</f>
        <v>7.5</v>
      </c>
    </row>
    <row r="144" spans="1:8" x14ac:dyDescent="0.2">
      <c r="A144" s="2" t="s">
        <v>36</v>
      </c>
      <c r="B144" s="2">
        <v>2016</v>
      </c>
      <c r="C144" s="2">
        <v>4</v>
      </c>
      <c r="D144" s="7">
        <v>21.066400000000002</v>
      </c>
      <c r="E144" s="7">
        <v>4.54</v>
      </c>
      <c r="F144" s="2">
        <v>2</v>
      </c>
      <c r="G144" s="2">
        <v>17</v>
      </c>
      <c r="H144" s="5">
        <f>30 / 2</f>
        <v>15</v>
      </c>
    </row>
    <row r="145" spans="1:8" x14ac:dyDescent="0.2">
      <c r="A145" s="2" t="s">
        <v>45</v>
      </c>
      <c r="B145" s="2">
        <v>2016</v>
      </c>
      <c r="C145" s="2">
        <v>4</v>
      </c>
      <c r="D145" s="7">
        <v>19.638300000000001</v>
      </c>
      <c r="E145" s="7">
        <v>0.84</v>
      </c>
      <c r="F145" s="2">
        <v>0</v>
      </c>
      <c r="G145" s="2">
        <v>-11</v>
      </c>
      <c r="H145" s="5">
        <v>0</v>
      </c>
    </row>
    <row r="146" spans="1:8" x14ac:dyDescent="0.2">
      <c r="A146" s="2" t="s">
        <v>74</v>
      </c>
      <c r="B146" s="2">
        <v>2016</v>
      </c>
      <c r="C146" s="2">
        <v>5</v>
      </c>
      <c r="D146" s="7">
        <v>24.665099999999999</v>
      </c>
      <c r="E146" s="7">
        <v>1.1000000000000001</v>
      </c>
      <c r="F146" s="2">
        <v>0</v>
      </c>
      <c r="G146" s="2">
        <v>-2</v>
      </c>
      <c r="H146" s="5">
        <v>0</v>
      </c>
    </row>
    <row r="147" spans="1:8" x14ac:dyDescent="0.2">
      <c r="A147" s="2" t="s">
        <v>2</v>
      </c>
      <c r="B147" s="2">
        <v>2016</v>
      </c>
      <c r="C147" s="2">
        <v>5</v>
      </c>
      <c r="D147" s="7">
        <v>22.775200000000002</v>
      </c>
      <c r="E147" s="7">
        <v>0.14000000000000001</v>
      </c>
      <c r="F147" s="2">
        <v>2</v>
      </c>
      <c r="G147" s="2">
        <v>16</v>
      </c>
      <c r="H147" s="5">
        <f>31 / 2</f>
        <v>15.5</v>
      </c>
    </row>
    <row r="148" spans="1:8" x14ac:dyDescent="0.2">
      <c r="A148" s="2" t="s">
        <v>303</v>
      </c>
      <c r="B148" s="2">
        <v>2016</v>
      </c>
      <c r="C148" s="2">
        <v>5</v>
      </c>
      <c r="D148" s="7">
        <v>20.703399999999998</v>
      </c>
      <c r="E148" s="7">
        <v>1.74</v>
      </c>
      <c r="F148" s="2">
        <v>2</v>
      </c>
      <c r="G148" s="2">
        <v>2</v>
      </c>
      <c r="H148" s="5">
        <f>18 / 2</f>
        <v>9</v>
      </c>
    </row>
    <row r="149" spans="1:8" x14ac:dyDescent="0.2">
      <c r="A149" s="2" t="s">
        <v>68</v>
      </c>
      <c r="B149" s="2">
        <v>2016</v>
      </c>
      <c r="C149" s="2">
        <v>5</v>
      </c>
      <c r="D149" s="7">
        <v>19.899999999999999</v>
      </c>
      <c r="E149" s="7">
        <v>1.62</v>
      </c>
      <c r="F149" s="2">
        <v>0</v>
      </c>
      <c r="G149" s="2">
        <v>-4</v>
      </c>
      <c r="H149" s="5">
        <v>0</v>
      </c>
    </row>
    <row r="150" spans="1:8" x14ac:dyDescent="0.2">
      <c r="A150" s="2" t="s">
        <v>21</v>
      </c>
      <c r="B150" s="2">
        <v>2016</v>
      </c>
      <c r="C150" s="2">
        <v>6</v>
      </c>
      <c r="D150" s="7">
        <v>21.850300000000001</v>
      </c>
      <c r="E150" s="7">
        <v>0.13</v>
      </c>
      <c r="F150" s="2">
        <v>0</v>
      </c>
      <c r="G150" s="2">
        <v>-10</v>
      </c>
      <c r="H150" s="5">
        <v>0</v>
      </c>
    </row>
    <row r="151" spans="1:8" x14ac:dyDescent="0.2">
      <c r="A151" s="2" t="s">
        <v>617</v>
      </c>
      <c r="B151" s="2">
        <v>2016</v>
      </c>
      <c r="C151" s="2">
        <v>6</v>
      </c>
      <c r="D151" s="7">
        <v>17.6709</v>
      </c>
      <c r="E151" s="7">
        <v>-0.5</v>
      </c>
      <c r="F151" s="2">
        <v>0</v>
      </c>
      <c r="G151" s="2">
        <v>-16</v>
      </c>
      <c r="H151" s="5">
        <v>0</v>
      </c>
    </row>
    <row r="152" spans="1:8" x14ac:dyDescent="0.2">
      <c r="A152" s="2" t="s">
        <v>78</v>
      </c>
      <c r="B152" s="2">
        <v>2016</v>
      </c>
      <c r="C152" s="2">
        <v>6</v>
      </c>
      <c r="D152" s="7">
        <v>17.080400000000001</v>
      </c>
      <c r="E152" s="7">
        <v>8.09</v>
      </c>
      <c r="F152" s="2">
        <v>0</v>
      </c>
      <c r="G152" s="2">
        <v>-3</v>
      </c>
      <c r="H152" s="5">
        <v>0</v>
      </c>
    </row>
    <row r="153" spans="1:8" x14ac:dyDescent="0.2">
      <c r="A153" s="2" t="s">
        <v>26</v>
      </c>
      <c r="B153" s="2">
        <v>2016</v>
      </c>
      <c r="C153" s="2">
        <v>6</v>
      </c>
      <c r="D153" s="7">
        <v>15.960599999999999</v>
      </c>
      <c r="E153" s="7">
        <v>1.28</v>
      </c>
      <c r="F153" s="2">
        <v>3</v>
      </c>
      <c r="G153" s="2">
        <v>-1</v>
      </c>
      <c r="H153" s="5">
        <f>13 / 3</f>
        <v>4.333333333333333</v>
      </c>
    </row>
    <row r="154" spans="1:8" x14ac:dyDescent="0.2">
      <c r="A154" s="2" t="s">
        <v>615</v>
      </c>
      <c r="B154" s="2">
        <v>2016</v>
      </c>
      <c r="C154" s="2">
        <v>7</v>
      </c>
      <c r="D154" s="7">
        <v>21.375900000000001</v>
      </c>
      <c r="E154" s="7">
        <v>3.24</v>
      </c>
      <c r="F154" s="2">
        <v>1</v>
      </c>
      <c r="G154" s="2">
        <v>-17</v>
      </c>
      <c r="H154" s="5">
        <v>2</v>
      </c>
    </row>
    <row r="155" spans="1:8" x14ac:dyDescent="0.2">
      <c r="A155" s="2" t="s">
        <v>17</v>
      </c>
      <c r="B155" s="2">
        <v>2016</v>
      </c>
      <c r="C155" s="2">
        <v>7</v>
      </c>
      <c r="D155" s="7">
        <v>16.359300000000001</v>
      </c>
      <c r="E155" s="7">
        <v>5.05</v>
      </c>
      <c r="F155" s="2">
        <v>2</v>
      </c>
      <c r="G155" s="2">
        <v>2</v>
      </c>
      <c r="H155" s="5">
        <f>7 / 2</f>
        <v>3.5</v>
      </c>
    </row>
    <row r="156" spans="1:8" x14ac:dyDescent="0.2">
      <c r="A156" s="2" t="s">
        <v>385</v>
      </c>
      <c r="B156" s="2">
        <v>2016</v>
      </c>
      <c r="C156" s="2">
        <v>7</v>
      </c>
      <c r="D156" s="7">
        <v>13.328900000000001</v>
      </c>
      <c r="E156" s="7">
        <v>6.17</v>
      </c>
      <c r="F156" s="2">
        <v>0</v>
      </c>
      <c r="G156" s="2">
        <v>-19</v>
      </c>
      <c r="H156" s="5">
        <v>0</v>
      </c>
    </row>
    <row r="157" spans="1:8" x14ac:dyDescent="0.2">
      <c r="A157" s="2" t="s">
        <v>1064</v>
      </c>
      <c r="B157" s="2">
        <v>2016</v>
      </c>
      <c r="C157" s="2">
        <v>7</v>
      </c>
      <c r="D157" s="7">
        <v>12.3995</v>
      </c>
      <c r="E157" s="7">
        <v>2.71</v>
      </c>
      <c r="F157" s="2">
        <v>0</v>
      </c>
      <c r="G157" s="2">
        <v>-8</v>
      </c>
      <c r="H157" s="5">
        <v>0</v>
      </c>
    </row>
    <row r="158" spans="1:8" x14ac:dyDescent="0.2">
      <c r="A158" s="2" t="s">
        <v>384</v>
      </c>
      <c r="B158" s="2">
        <v>2016</v>
      </c>
      <c r="C158" s="2">
        <v>8</v>
      </c>
      <c r="D158" s="7">
        <v>14.7721</v>
      </c>
      <c r="E158" s="7">
        <v>1.77</v>
      </c>
      <c r="F158" s="2">
        <v>0</v>
      </c>
      <c r="G158" s="2">
        <v>-1</v>
      </c>
      <c r="H158" s="5">
        <v>0</v>
      </c>
    </row>
    <row r="159" spans="1:8" x14ac:dyDescent="0.2">
      <c r="A159" s="2" t="s">
        <v>539</v>
      </c>
      <c r="B159" s="2">
        <v>2016</v>
      </c>
      <c r="C159" s="2">
        <v>8</v>
      </c>
      <c r="D159" s="7">
        <v>14.6937</v>
      </c>
      <c r="E159" s="7">
        <v>4.03</v>
      </c>
      <c r="F159" s="2">
        <v>0</v>
      </c>
      <c r="G159" s="2">
        <v>-10</v>
      </c>
      <c r="H159" s="5">
        <v>0</v>
      </c>
    </row>
    <row r="160" spans="1:8" x14ac:dyDescent="0.2">
      <c r="A160" s="2" t="s">
        <v>465</v>
      </c>
      <c r="B160" s="2">
        <v>2016</v>
      </c>
      <c r="C160" s="2">
        <v>8</v>
      </c>
      <c r="D160" s="7">
        <v>13.882999999999999</v>
      </c>
      <c r="E160" s="7">
        <v>3.6</v>
      </c>
      <c r="F160" s="2">
        <v>1</v>
      </c>
      <c r="G160" s="2">
        <v>-3</v>
      </c>
      <c r="H160" s="5">
        <v>2</v>
      </c>
    </row>
    <row r="161" spans="1:8" x14ac:dyDescent="0.2">
      <c r="A161" s="2" t="s">
        <v>39</v>
      </c>
      <c r="B161" s="2">
        <v>2016</v>
      </c>
      <c r="C161" s="2">
        <v>8</v>
      </c>
      <c r="D161" s="7">
        <v>13.5764</v>
      </c>
      <c r="E161" s="7">
        <v>-0.17</v>
      </c>
      <c r="F161" s="2">
        <v>0</v>
      </c>
      <c r="G161" s="2">
        <v>-7</v>
      </c>
      <c r="H161" s="5">
        <v>0</v>
      </c>
    </row>
    <row r="162" spans="1:8" x14ac:dyDescent="0.2">
      <c r="A162" s="2" t="s">
        <v>90</v>
      </c>
      <c r="B162" s="2">
        <v>2016</v>
      </c>
      <c r="C162" s="2">
        <v>9</v>
      </c>
      <c r="D162" s="7">
        <v>18.308299999999999</v>
      </c>
      <c r="E162" s="7">
        <v>2.39</v>
      </c>
      <c r="F162" s="2">
        <v>1</v>
      </c>
      <c r="G162" s="2">
        <v>-5</v>
      </c>
      <c r="H162" s="5">
        <v>7</v>
      </c>
    </row>
    <row r="163" spans="1:8" x14ac:dyDescent="0.2">
      <c r="A163" s="2" t="s">
        <v>37</v>
      </c>
      <c r="B163" s="2">
        <v>2016</v>
      </c>
      <c r="C163" s="2">
        <v>9</v>
      </c>
      <c r="D163" s="7">
        <v>17.160599999999999</v>
      </c>
      <c r="E163" s="7">
        <v>1.1000000000000001</v>
      </c>
      <c r="F163" s="2">
        <v>0</v>
      </c>
      <c r="G163" s="2">
        <v>-2</v>
      </c>
      <c r="H163" s="5">
        <v>0</v>
      </c>
    </row>
    <row r="164" spans="1:8" x14ac:dyDescent="0.2">
      <c r="A164" s="2" t="s">
        <v>23</v>
      </c>
      <c r="B164" s="2">
        <v>2016</v>
      </c>
      <c r="C164" s="2">
        <v>9</v>
      </c>
      <c r="D164" s="7">
        <v>15.8797</v>
      </c>
      <c r="E164" s="7">
        <v>-0.91</v>
      </c>
      <c r="F164" s="2">
        <v>1</v>
      </c>
      <c r="G164" s="2">
        <v>2</v>
      </c>
      <c r="H164" s="5">
        <v>10</v>
      </c>
    </row>
    <row r="165" spans="1:8" x14ac:dyDescent="0.2">
      <c r="A165" s="2" t="s">
        <v>754</v>
      </c>
      <c r="B165" s="2">
        <v>2016</v>
      </c>
      <c r="C165" s="2">
        <v>9</v>
      </c>
      <c r="D165" s="7">
        <v>13.584300000000001</v>
      </c>
      <c r="E165" s="7">
        <v>-0.39</v>
      </c>
      <c r="F165" s="2">
        <v>1</v>
      </c>
      <c r="G165" s="2">
        <v>-18</v>
      </c>
      <c r="H165" s="5">
        <v>1</v>
      </c>
    </row>
    <row r="166" spans="1:8" x14ac:dyDescent="0.2">
      <c r="A166" s="2" t="s">
        <v>18</v>
      </c>
      <c r="B166" s="2">
        <v>2016</v>
      </c>
      <c r="C166" s="2">
        <v>10</v>
      </c>
      <c r="D166" s="7">
        <v>17.011099999999999</v>
      </c>
      <c r="E166" s="7">
        <v>3.46</v>
      </c>
      <c r="F166" s="2">
        <v>1</v>
      </c>
      <c r="G166" s="2">
        <v>4</v>
      </c>
      <c r="H166" s="5">
        <v>8</v>
      </c>
    </row>
    <row r="167" spans="1:8" x14ac:dyDescent="0.2">
      <c r="A167" s="2" t="s">
        <v>28</v>
      </c>
      <c r="B167" s="2">
        <v>2016</v>
      </c>
      <c r="C167" s="2">
        <v>10</v>
      </c>
      <c r="D167" s="7">
        <v>16.238199999999999</v>
      </c>
      <c r="E167" s="7">
        <v>-2.4700000000000002</v>
      </c>
      <c r="F167" s="2">
        <v>0</v>
      </c>
      <c r="G167" s="2">
        <v>-4</v>
      </c>
      <c r="H167" s="5">
        <v>0</v>
      </c>
    </row>
    <row r="168" spans="1:8" x14ac:dyDescent="0.2">
      <c r="A168" s="2" t="s">
        <v>14</v>
      </c>
      <c r="B168" s="2">
        <v>2016</v>
      </c>
      <c r="C168" s="2">
        <v>10</v>
      </c>
      <c r="D168" s="7">
        <v>15.8399</v>
      </c>
      <c r="E168" s="7">
        <v>1.95</v>
      </c>
      <c r="F168" s="2">
        <v>4</v>
      </c>
      <c r="G168" s="2">
        <v>36</v>
      </c>
      <c r="H168" s="5">
        <f>53 / 4</f>
        <v>13.25</v>
      </c>
    </row>
    <row r="169" spans="1:8" x14ac:dyDescent="0.2">
      <c r="A169" s="2" t="s">
        <v>35</v>
      </c>
      <c r="B169" s="2">
        <v>2016</v>
      </c>
      <c r="C169" s="2">
        <v>10</v>
      </c>
      <c r="D169" s="7">
        <v>8.2947000000000006</v>
      </c>
      <c r="E169" s="7">
        <v>4.4400000000000004</v>
      </c>
      <c r="F169" s="2">
        <v>0</v>
      </c>
      <c r="G169" s="2">
        <v>-2</v>
      </c>
      <c r="H169" s="5">
        <v>0</v>
      </c>
    </row>
    <row r="170" spans="1:8" x14ac:dyDescent="0.2">
      <c r="A170" s="2" t="s">
        <v>32</v>
      </c>
      <c r="B170" s="2">
        <v>2016</v>
      </c>
      <c r="C170" s="2">
        <v>11</v>
      </c>
      <c r="D170" s="7">
        <v>21.167100000000001</v>
      </c>
      <c r="E170" s="7">
        <v>7.51</v>
      </c>
      <c r="F170" s="2">
        <v>1</v>
      </c>
      <c r="G170" s="2">
        <v>2</v>
      </c>
      <c r="H170" s="5">
        <v>10</v>
      </c>
    </row>
    <row r="171" spans="1:8" x14ac:dyDescent="0.2">
      <c r="A171" s="2" t="s">
        <v>3</v>
      </c>
      <c r="B171" s="2">
        <v>2016</v>
      </c>
      <c r="C171" s="2">
        <v>11</v>
      </c>
      <c r="D171" s="7">
        <v>19.2867</v>
      </c>
      <c r="E171" s="7">
        <v>7.74</v>
      </c>
      <c r="F171" s="2">
        <v>2</v>
      </c>
      <c r="G171" s="2">
        <v>26</v>
      </c>
      <c r="H171" s="5">
        <f>29 / 2</f>
        <v>14.5</v>
      </c>
    </row>
    <row r="172" spans="1:8" x14ac:dyDescent="0.2">
      <c r="A172" s="2" t="s">
        <v>13</v>
      </c>
      <c r="B172" s="2">
        <v>2016</v>
      </c>
      <c r="C172" s="2">
        <v>11</v>
      </c>
      <c r="D172" s="7">
        <v>14.561999999999999</v>
      </c>
      <c r="E172" s="7">
        <v>0.28999999999999998</v>
      </c>
      <c r="F172" s="2">
        <v>0</v>
      </c>
      <c r="G172" s="2">
        <v>-7</v>
      </c>
      <c r="H172" s="5">
        <v>0</v>
      </c>
    </row>
    <row r="173" spans="1:8" x14ac:dyDescent="0.2">
      <c r="A173" s="2" t="s">
        <v>304</v>
      </c>
      <c r="B173" s="2">
        <v>2016</v>
      </c>
      <c r="C173" s="2">
        <v>11</v>
      </c>
      <c r="D173" s="7">
        <v>10.1113</v>
      </c>
      <c r="E173" s="7">
        <v>6.47</v>
      </c>
      <c r="F173" s="2">
        <v>1</v>
      </c>
      <c r="G173" s="2">
        <v>-1</v>
      </c>
      <c r="H173" s="5">
        <v>3</v>
      </c>
    </row>
    <row r="174" spans="1:8" x14ac:dyDescent="0.2">
      <c r="A174" s="2" t="s">
        <v>1065</v>
      </c>
      <c r="B174" s="2">
        <v>2016</v>
      </c>
      <c r="C174" s="2">
        <v>12</v>
      </c>
      <c r="D174" s="7">
        <v>13.835100000000001</v>
      </c>
      <c r="E174" s="7">
        <v>-2.34</v>
      </c>
      <c r="F174" s="2">
        <v>1</v>
      </c>
      <c r="G174" s="2">
        <v>-3</v>
      </c>
      <c r="H174" s="5">
        <v>4</v>
      </c>
    </row>
    <row r="175" spans="1:8" x14ac:dyDescent="0.2">
      <c r="A175" s="2" t="s">
        <v>1066</v>
      </c>
      <c r="B175" s="2">
        <v>2016</v>
      </c>
      <c r="C175" s="2">
        <v>12</v>
      </c>
      <c r="D175" s="7">
        <v>12.480700000000001</v>
      </c>
      <c r="E175" s="7">
        <v>-3.48</v>
      </c>
      <c r="F175" s="2">
        <v>1</v>
      </c>
      <c r="G175" s="2">
        <v>-15</v>
      </c>
      <c r="H175" s="5">
        <v>2</v>
      </c>
    </row>
    <row r="176" spans="1:8" x14ac:dyDescent="0.2">
      <c r="A176" s="2" t="s">
        <v>50</v>
      </c>
      <c r="B176" s="2">
        <v>2016</v>
      </c>
      <c r="C176" s="2">
        <v>12</v>
      </c>
      <c r="D176" s="7">
        <v>9.6044</v>
      </c>
      <c r="E176" s="7">
        <v>-0.13</v>
      </c>
      <c r="F176" s="2">
        <v>0</v>
      </c>
      <c r="G176" s="2">
        <v>-5</v>
      </c>
      <c r="H176" s="5">
        <v>0</v>
      </c>
    </row>
    <row r="177" spans="1:8" x14ac:dyDescent="0.2">
      <c r="A177" s="2" t="s">
        <v>395</v>
      </c>
      <c r="B177" s="2">
        <v>2016</v>
      </c>
      <c r="C177" s="2">
        <v>12</v>
      </c>
      <c r="D177" s="7">
        <v>7.4999000000000002</v>
      </c>
      <c r="E177" s="7">
        <v>-1</v>
      </c>
      <c r="F177" s="2">
        <v>0</v>
      </c>
      <c r="G177" s="2">
        <v>-25</v>
      </c>
      <c r="H177" s="5">
        <v>0</v>
      </c>
    </row>
    <row r="178" spans="1:8" x14ac:dyDescent="0.2">
      <c r="A178" s="2" t="s">
        <v>1068</v>
      </c>
      <c r="B178" s="2">
        <v>2016</v>
      </c>
      <c r="C178" s="2">
        <v>13</v>
      </c>
      <c r="D178" s="7">
        <v>11.7339</v>
      </c>
      <c r="E178" s="7">
        <v>-4.18</v>
      </c>
      <c r="F178" s="2">
        <v>1</v>
      </c>
      <c r="G178" s="2">
        <v>-2</v>
      </c>
      <c r="H178" s="5">
        <v>11</v>
      </c>
    </row>
    <row r="179" spans="1:8" x14ac:dyDescent="0.2">
      <c r="A179" s="2" t="s">
        <v>1067</v>
      </c>
      <c r="B179" s="2">
        <v>2016</v>
      </c>
      <c r="C179" s="2">
        <v>13</v>
      </c>
      <c r="D179" s="7">
        <v>9.2433999999999994</v>
      </c>
      <c r="E179" s="7">
        <v>-4.3499999999999996</v>
      </c>
      <c r="F179" s="2">
        <v>0</v>
      </c>
      <c r="G179" s="2">
        <v>-8</v>
      </c>
      <c r="H179" s="5">
        <v>0</v>
      </c>
    </row>
    <row r="180" spans="1:8" x14ac:dyDescent="0.2">
      <c r="A180" s="2" t="s">
        <v>1070</v>
      </c>
      <c r="B180" s="2">
        <v>2016</v>
      </c>
      <c r="C180" s="2">
        <v>13</v>
      </c>
      <c r="D180" s="7">
        <v>8.5396999999999998</v>
      </c>
      <c r="E180" s="7">
        <v>2.21</v>
      </c>
      <c r="F180" s="2">
        <v>0</v>
      </c>
      <c r="G180" s="2">
        <v>-28</v>
      </c>
      <c r="H180" s="5">
        <v>0</v>
      </c>
    </row>
    <row r="181" spans="1:8" x14ac:dyDescent="0.2">
      <c r="A181" s="2" t="s">
        <v>55</v>
      </c>
      <c r="B181" s="2">
        <v>2016</v>
      </c>
      <c r="C181" s="2">
        <v>13</v>
      </c>
      <c r="D181" s="7">
        <v>7.8235000000000001</v>
      </c>
      <c r="E181" s="7">
        <v>4.68</v>
      </c>
      <c r="F181" s="2">
        <v>0</v>
      </c>
      <c r="G181" s="2">
        <v>-13</v>
      </c>
      <c r="H181" s="5">
        <v>0</v>
      </c>
    </row>
    <row r="182" spans="1:8" x14ac:dyDescent="0.2">
      <c r="A182" s="2" t="s">
        <v>390</v>
      </c>
      <c r="B182" s="2">
        <v>2016</v>
      </c>
      <c r="C182" s="2">
        <v>14</v>
      </c>
      <c r="D182" s="7">
        <v>14.4285</v>
      </c>
      <c r="E182" s="7">
        <v>2.74</v>
      </c>
      <c r="F182" s="2">
        <v>1</v>
      </c>
      <c r="G182" s="2">
        <v>13</v>
      </c>
      <c r="H182" s="5">
        <v>14</v>
      </c>
    </row>
    <row r="183" spans="1:8" x14ac:dyDescent="0.2">
      <c r="A183" s="2" t="s">
        <v>1072</v>
      </c>
      <c r="B183" s="2">
        <v>2016</v>
      </c>
      <c r="C183" s="2">
        <v>14</v>
      </c>
      <c r="D183" s="7">
        <v>6.6737000000000002</v>
      </c>
      <c r="E183" s="7">
        <v>-0.84</v>
      </c>
      <c r="F183" s="2">
        <v>0</v>
      </c>
      <c r="G183" s="2">
        <v>-11</v>
      </c>
      <c r="H183" s="5">
        <v>0</v>
      </c>
    </row>
    <row r="184" spans="1:8" x14ac:dyDescent="0.2">
      <c r="A184" s="2" t="s">
        <v>1071</v>
      </c>
      <c r="B184" s="2">
        <v>2016</v>
      </c>
      <c r="C184" s="2">
        <v>14</v>
      </c>
      <c r="D184" s="7">
        <v>3.9754</v>
      </c>
      <c r="E184" s="7">
        <v>0.18</v>
      </c>
      <c r="F184" s="2">
        <v>0</v>
      </c>
      <c r="G184" s="2">
        <v>-27</v>
      </c>
      <c r="H184" s="5">
        <v>0</v>
      </c>
    </row>
    <row r="185" spans="1:8" x14ac:dyDescent="0.2">
      <c r="A185" s="2" t="s">
        <v>967</v>
      </c>
      <c r="B185" s="2">
        <v>2016</v>
      </c>
      <c r="C185" s="2">
        <v>14</v>
      </c>
      <c r="D185" s="7">
        <v>2.7265000000000001</v>
      </c>
      <c r="E185" s="7">
        <v>2.46</v>
      </c>
      <c r="F185" s="2">
        <v>0</v>
      </c>
      <c r="G185" s="2">
        <v>-7</v>
      </c>
      <c r="H185" s="5">
        <v>0</v>
      </c>
    </row>
    <row r="186" spans="1:8" x14ac:dyDescent="0.2">
      <c r="A186" s="2" t="s">
        <v>1073</v>
      </c>
      <c r="B186" s="2">
        <v>2016</v>
      </c>
      <c r="C186" s="2">
        <v>15</v>
      </c>
      <c r="D186" s="7">
        <v>6.4730999999999996</v>
      </c>
      <c r="E186" s="7">
        <v>-4.0999999999999996</v>
      </c>
      <c r="F186" s="2">
        <v>0</v>
      </c>
      <c r="G186" s="2">
        <v>-14</v>
      </c>
      <c r="H186" s="5">
        <v>0</v>
      </c>
    </row>
    <row r="187" spans="1:8" x14ac:dyDescent="0.2">
      <c r="A187" s="2" t="s">
        <v>89</v>
      </c>
      <c r="B187" s="2">
        <v>2016</v>
      </c>
      <c r="C187" s="2">
        <v>15</v>
      </c>
      <c r="D187" s="7">
        <v>4.1776999999999997</v>
      </c>
      <c r="E187" s="7">
        <v>2.44</v>
      </c>
      <c r="F187" s="2">
        <v>0</v>
      </c>
      <c r="G187" s="2">
        <v>-30</v>
      </c>
      <c r="H187" s="5">
        <v>0</v>
      </c>
    </row>
    <row r="188" spans="1:8" x14ac:dyDescent="0.2">
      <c r="A188" s="2" t="s">
        <v>1074</v>
      </c>
      <c r="B188" s="2">
        <v>2016</v>
      </c>
      <c r="C188" s="2">
        <v>15</v>
      </c>
      <c r="D188" s="7">
        <v>3.9024999999999999</v>
      </c>
      <c r="E188" s="7">
        <v>1.8</v>
      </c>
      <c r="F188" s="2">
        <v>1</v>
      </c>
      <c r="G188" s="2">
        <v>-16</v>
      </c>
      <c r="H188" s="5">
        <v>9</v>
      </c>
    </row>
    <row r="189" spans="1:8" x14ac:dyDescent="0.2">
      <c r="A189" s="2" t="s">
        <v>546</v>
      </c>
      <c r="B189" s="2">
        <v>2016</v>
      </c>
      <c r="C189" s="2">
        <v>15</v>
      </c>
      <c r="D189" s="7">
        <v>2.7448999999999999</v>
      </c>
      <c r="E189" s="7">
        <v>0.43</v>
      </c>
      <c r="F189" s="2">
        <v>0</v>
      </c>
      <c r="G189" s="2">
        <v>-18</v>
      </c>
      <c r="H189" s="5">
        <v>0</v>
      </c>
    </row>
    <row r="190" spans="1:8" x14ac:dyDescent="0.2">
      <c r="A190" s="2" t="s">
        <v>54</v>
      </c>
      <c r="B190" s="2">
        <v>2016</v>
      </c>
      <c r="C190" s="2">
        <v>16</v>
      </c>
      <c r="D190" s="7">
        <v>-1.4189000000000001</v>
      </c>
      <c r="E190" s="7">
        <v>-0.24</v>
      </c>
      <c r="F190" s="2">
        <v>0</v>
      </c>
      <c r="G190" s="2">
        <v>-16</v>
      </c>
      <c r="H190" s="5">
        <v>0</v>
      </c>
    </row>
    <row r="191" spans="1:8" x14ac:dyDescent="0.2">
      <c r="A191" s="2" t="s">
        <v>472</v>
      </c>
      <c r="B191" s="2">
        <v>2016</v>
      </c>
      <c r="C191" s="2">
        <v>16</v>
      </c>
      <c r="D191" s="7">
        <v>-5.0903999999999998</v>
      </c>
      <c r="E191" s="7">
        <v>-1.36</v>
      </c>
      <c r="F191" s="2">
        <v>0</v>
      </c>
      <c r="G191" s="2">
        <v>-26</v>
      </c>
      <c r="H191" s="5">
        <v>0</v>
      </c>
    </row>
    <row r="192" spans="1:8" x14ac:dyDescent="0.2">
      <c r="A192" s="2" t="s">
        <v>241</v>
      </c>
      <c r="B192" s="2">
        <v>2016</v>
      </c>
      <c r="C192" s="2">
        <v>16</v>
      </c>
      <c r="D192" s="7">
        <v>-6.8102999999999998</v>
      </c>
      <c r="E192" s="7">
        <v>-0.22</v>
      </c>
      <c r="F192" s="2">
        <v>0</v>
      </c>
      <c r="G192" s="2">
        <v>-36</v>
      </c>
      <c r="H192" s="5">
        <v>0</v>
      </c>
    </row>
    <row r="193" spans="1:8" x14ac:dyDescent="0.2">
      <c r="A193" s="2" t="s">
        <v>541</v>
      </c>
      <c r="B193" s="2">
        <v>2016</v>
      </c>
      <c r="C193" s="2">
        <v>16</v>
      </c>
      <c r="D193" s="7">
        <v>-11.507099999999999</v>
      </c>
      <c r="E193" s="7">
        <v>-6.46</v>
      </c>
      <c r="F193" s="2">
        <v>0</v>
      </c>
      <c r="G193" s="2">
        <v>-39</v>
      </c>
      <c r="H193" s="5">
        <v>0</v>
      </c>
    </row>
    <row r="194" spans="1:8" x14ac:dyDescent="0.2">
      <c r="A194" s="2" t="s">
        <v>66</v>
      </c>
      <c r="B194" s="2">
        <v>2015</v>
      </c>
      <c r="C194" s="2">
        <v>1</v>
      </c>
      <c r="D194" s="7">
        <v>37.259900000000002</v>
      </c>
      <c r="E194" s="7">
        <v>7.48</v>
      </c>
      <c r="F194" s="2">
        <v>4</v>
      </c>
      <c r="G194" s="2">
        <v>70</v>
      </c>
      <c r="H194" s="6">
        <f>77/4</f>
        <v>19.25</v>
      </c>
    </row>
    <row r="195" spans="1:8" x14ac:dyDescent="0.2">
      <c r="A195" s="2" t="s">
        <v>17</v>
      </c>
      <c r="B195" s="2">
        <v>2015</v>
      </c>
      <c r="C195" s="2">
        <v>1</v>
      </c>
      <c r="D195" s="7">
        <v>33.324399999999997</v>
      </c>
      <c r="E195" s="7">
        <v>6.74</v>
      </c>
      <c r="F195" s="2">
        <v>5</v>
      </c>
      <c r="G195" s="2">
        <v>37</v>
      </c>
      <c r="H195" s="6">
        <f>42/5</f>
        <v>8.4</v>
      </c>
    </row>
    <row r="196" spans="1:8" x14ac:dyDescent="0.2">
      <c r="A196" s="2" t="s">
        <v>34</v>
      </c>
      <c r="B196" s="2">
        <v>2015</v>
      </c>
      <c r="C196" s="2">
        <v>1</v>
      </c>
      <c r="D196" s="7">
        <v>30.9404</v>
      </c>
      <c r="E196" s="7">
        <v>2.2799999999999998</v>
      </c>
      <c r="F196" s="2">
        <v>1</v>
      </c>
      <c r="G196" s="2">
        <v>38</v>
      </c>
      <c r="H196" s="5">
        <v>41</v>
      </c>
    </row>
    <row r="197" spans="1:8" x14ac:dyDescent="0.2">
      <c r="A197" s="2" t="s">
        <v>6</v>
      </c>
      <c r="B197" s="2">
        <v>2015</v>
      </c>
      <c r="C197" s="2">
        <v>1</v>
      </c>
      <c r="D197" s="7">
        <v>29.2927</v>
      </c>
      <c r="E197" s="7">
        <v>3.87</v>
      </c>
      <c r="F197" s="2">
        <v>6</v>
      </c>
      <c r="G197" s="2">
        <v>93</v>
      </c>
      <c r="H197" s="6">
        <f>93/6</f>
        <v>15.5</v>
      </c>
    </row>
    <row r="198" spans="1:8" x14ac:dyDescent="0.2">
      <c r="A198" s="2" t="s">
        <v>21</v>
      </c>
      <c r="B198" s="2">
        <v>2015</v>
      </c>
      <c r="C198" s="2">
        <v>2</v>
      </c>
      <c r="D198" s="7">
        <v>32.360700000000001</v>
      </c>
      <c r="E198" s="7">
        <v>2.4900000000000002</v>
      </c>
      <c r="F198" s="2">
        <v>3</v>
      </c>
      <c r="G198" s="2">
        <v>37</v>
      </c>
      <c r="H198" s="6">
        <f>44/3</f>
        <v>14.666666666666666</v>
      </c>
    </row>
    <row r="199" spans="1:8" x14ac:dyDescent="0.2">
      <c r="A199" s="2" t="s">
        <v>75</v>
      </c>
      <c r="B199" s="2">
        <v>2015</v>
      </c>
      <c r="C199" s="2">
        <v>2</v>
      </c>
      <c r="D199" s="7">
        <v>30.915700000000001</v>
      </c>
      <c r="E199" s="7">
        <v>2.7</v>
      </c>
      <c r="F199" s="2">
        <v>1</v>
      </c>
      <c r="G199" s="2">
        <v>6</v>
      </c>
      <c r="H199" s="5">
        <v>12</v>
      </c>
    </row>
    <row r="200" spans="1:8" x14ac:dyDescent="0.2">
      <c r="A200" s="2" t="s">
        <v>3</v>
      </c>
      <c r="B200" s="2">
        <v>2015</v>
      </c>
      <c r="C200" s="2">
        <v>2</v>
      </c>
      <c r="D200" s="7">
        <v>28.8749</v>
      </c>
      <c r="E200" s="7">
        <v>5.79</v>
      </c>
      <c r="F200" s="2">
        <v>3</v>
      </c>
      <c r="G200" s="2">
        <v>27</v>
      </c>
      <c r="H200" s="6">
        <f>41/3</f>
        <v>13.666666666666666</v>
      </c>
    </row>
    <row r="201" spans="1:8" x14ac:dyDescent="0.2">
      <c r="A201" s="2" t="s">
        <v>4</v>
      </c>
      <c r="B201" s="2">
        <v>2015</v>
      </c>
      <c r="C201" s="2">
        <v>2</v>
      </c>
      <c r="D201" s="7">
        <v>23.715299999999999</v>
      </c>
      <c r="E201" s="7">
        <v>11.45</v>
      </c>
      <c r="F201" s="2">
        <v>1</v>
      </c>
      <c r="G201" s="2">
        <v>6</v>
      </c>
      <c r="H201" s="5">
        <v>19</v>
      </c>
    </row>
    <row r="202" spans="1:8" x14ac:dyDescent="0.2">
      <c r="A202" s="2" t="s">
        <v>26</v>
      </c>
      <c r="B202" s="2">
        <v>2015</v>
      </c>
      <c r="C202" s="2">
        <v>3</v>
      </c>
      <c r="D202" s="7">
        <v>24.0686</v>
      </c>
      <c r="E202" s="7">
        <v>-6.7</v>
      </c>
      <c r="F202" s="2">
        <v>3</v>
      </c>
      <c r="G202" s="2">
        <v>16</v>
      </c>
      <c r="H202" s="6">
        <f>18/3</f>
        <v>6</v>
      </c>
    </row>
    <row r="203" spans="1:8" x14ac:dyDescent="0.2">
      <c r="A203" s="2" t="s">
        <v>38</v>
      </c>
      <c r="B203" s="2">
        <v>2015</v>
      </c>
      <c r="C203" s="2">
        <v>3</v>
      </c>
      <c r="D203" s="7">
        <v>24.0427</v>
      </c>
      <c r="E203" s="7">
        <v>2.84</v>
      </c>
      <c r="F203" s="2">
        <v>2</v>
      </c>
      <c r="G203" s="2">
        <v>11</v>
      </c>
      <c r="H203" s="6">
        <f>15/2</f>
        <v>7.5</v>
      </c>
    </row>
    <row r="204" spans="1:8" x14ac:dyDescent="0.2">
      <c r="A204" s="2" t="s">
        <v>68</v>
      </c>
      <c r="B204" s="2">
        <v>2015</v>
      </c>
      <c r="C204" s="2">
        <v>3</v>
      </c>
      <c r="D204" s="7">
        <v>23.4435</v>
      </c>
      <c r="E204" s="7">
        <v>2.71</v>
      </c>
      <c r="F204" s="2">
        <v>0</v>
      </c>
      <c r="G204" s="2">
        <v>-1</v>
      </c>
      <c r="H204" s="5">
        <v>0</v>
      </c>
    </row>
    <row r="205" spans="1:8" x14ac:dyDescent="0.2">
      <c r="A205" s="2" t="s">
        <v>36</v>
      </c>
      <c r="B205" s="2">
        <v>2015</v>
      </c>
      <c r="C205" s="2">
        <v>3</v>
      </c>
      <c r="D205" s="7">
        <v>22.9985</v>
      </c>
      <c r="E205" s="7">
        <v>1.73</v>
      </c>
      <c r="F205" s="2">
        <v>0</v>
      </c>
      <c r="G205" s="2">
        <v>-1</v>
      </c>
      <c r="H205" s="5">
        <v>0</v>
      </c>
    </row>
    <row r="206" spans="1:8" x14ac:dyDescent="0.2">
      <c r="A206" s="2" t="s">
        <v>29</v>
      </c>
      <c r="B206" s="2">
        <v>2015</v>
      </c>
      <c r="C206" s="2">
        <v>4</v>
      </c>
      <c r="D206" s="7">
        <v>23.7925</v>
      </c>
      <c r="E206" s="7">
        <v>9.89</v>
      </c>
      <c r="F206" s="2">
        <v>2</v>
      </c>
      <c r="G206" s="2">
        <v>4</v>
      </c>
      <c r="H206" s="6">
        <f>11/2</f>
        <v>5.5</v>
      </c>
    </row>
    <row r="207" spans="1:8" x14ac:dyDescent="0.2">
      <c r="A207" s="2" t="s">
        <v>1</v>
      </c>
      <c r="B207" s="2">
        <v>2015</v>
      </c>
      <c r="C207" s="2">
        <v>4</v>
      </c>
      <c r="D207" s="7">
        <v>20.434999999999999</v>
      </c>
      <c r="E207" s="7">
        <v>1.33</v>
      </c>
      <c r="F207" s="2">
        <v>3</v>
      </c>
      <c r="G207" s="2">
        <v>19</v>
      </c>
      <c r="H207" s="6">
        <f>25/3</f>
        <v>8.3333333333333339</v>
      </c>
    </row>
    <row r="208" spans="1:8" x14ac:dyDescent="0.2">
      <c r="A208" s="2" t="s">
        <v>7</v>
      </c>
      <c r="B208" s="2">
        <v>2015</v>
      </c>
      <c r="C208" s="2">
        <v>4</v>
      </c>
      <c r="D208" s="7">
        <v>19.528400000000001</v>
      </c>
      <c r="E208" s="7">
        <v>7.14</v>
      </c>
      <c r="F208" s="2">
        <v>1</v>
      </c>
      <c r="G208" s="2">
        <v>-1</v>
      </c>
      <c r="H208" s="5">
        <v>10</v>
      </c>
    </row>
    <row r="209" spans="1:8" x14ac:dyDescent="0.2">
      <c r="A209" s="2" t="s">
        <v>303</v>
      </c>
      <c r="B209" s="2">
        <v>2015</v>
      </c>
      <c r="C209" s="2">
        <v>4</v>
      </c>
      <c r="D209" s="7">
        <v>16.2438</v>
      </c>
      <c r="E209" s="7">
        <v>1.07</v>
      </c>
      <c r="F209" s="2">
        <v>1</v>
      </c>
      <c r="G209" s="2">
        <v>-7</v>
      </c>
      <c r="H209" s="5">
        <v>3</v>
      </c>
    </row>
    <row r="210" spans="1:8" x14ac:dyDescent="0.2">
      <c r="A210" s="2" t="s">
        <v>380</v>
      </c>
      <c r="B210" s="2">
        <v>2015</v>
      </c>
      <c r="C210" s="2">
        <v>5</v>
      </c>
      <c r="D210" s="7">
        <v>26.930900000000001</v>
      </c>
      <c r="E210" s="7">
        <v>2.67</v>
      </c>
      <c r="F210" s="2">
        <v>2</v>
      </c>
      <c r="G210" s="2">
        <v>-23</v>
      </c>
      <c r="H210" s="6">
        <f>16/2</f>
        <v>8</v>
      </c>
    </row>
    <row r="211" spans="1:8" x14ac:dyDescent="0.2">
      <c r="A211" s="2" t="s">
        <v>304</v>
      </c>
      <c r="B211" s="2">
        <v>2015</v>
      </c>
      <c r="C211" s="2">
        <v>5</v>
      </c>
      <c r="D211" s="7">
        <v>20.8674</v>
      </c>
      <c r="E211" s="7">
        <v>2.2799999999999998</v>
      </c>
      <c r="F211" s="2">
        <v>1</v>
      </c>
      <c r="G211" s="2">
        <v>4</v>
      </c>
      <c r="H211" s="5">
        <v>17</v>
      </c>
    </row>
    <row r="212" spans="1:8" x14ac:dyDescent="0.2">
      <c r="A212" s="2" t="s">
        <v>77</v>
      </c>
      <c r="B212" s="2">
        <v>2015</v>
      </c>
      <c r="C212" s="2">
        <v>5</v>
      </c>
      <c r="D212" s="7">
        <v>18.726600000000001</v>
      </c>
      <c r="E212" s="7">
        <v>-0.33</v>
      </c>
      <c r="F212" s="2">
        <v>2</v>
      </c>
      <c r="G212" s="2">
        <v>12</v>
      </c>
      <c r="H212" s="6">
        <f>18/2</f>
        <v>9</v>
      </c>
    </row>
    <row r="213" spans="1:8" x14ac:dyDescent="0.2">
      <c r="A213" s="2" t="s">
        <v>462</v>
      </c>
      <c r="B213" s="2">
        <v>2015</v>
      </c>
      <c r="C213" s="2">
        <v>5</v>
      </c>
      <c r="D213" s="7">
        <v>17.07</v>
      </c>
      <c r="E213" s="7">
        <v>0.26</v>
      </c>
      <c r="F213" s="2">
        <v>1</v>
      </c>
      <c r="G213" s="2">
        <v>-6</v>
      </c>
      <c r="H213" s="5">
        <v>3</v>
      </c>
    </row>
    <row r="214" spans="1:8" x14ac:dyDescent="0.2">
      <c r="A214" s="2" t="s">
        <v>23</v>
      </c>
      <c r="B214" s="2">
        <v>2015</v>
      </c>
      <c r="C214" s="2">
        <v>6</v>
      </c>
      <c r="D214" s="7">
        <v>19.620799999999999</v>
      </c>
      <c r="E214" s="7">
        <v>2.77</v>
      </c>
      <c r="F214" s="2">
        <v>1</v>
      </c>
      <c r="G214" s="2">
        <v>5</v>
      </c>
      <c r="H214" s="5">
        <v>8</v>
      </c>
    </row>
    <row r="215" spans="1:8" x14ac:dyDescent="0.2">
      <c r="A215" s="2" t="s">
        <v>76</v>
      </c>
      <c r="B215" s="2">
        <v>2015</v>
      </c>
      <c r="C215" s="2">
        <v>6</v>
      </c>
      <c r="D215" s="7">
        <v>18.634</v>
      </c>
      <c r="E215" s="7">
        <v>3.77</v>
      </c>
      <c r="F215" s="2">
        <v>2</v>
      </c>
      <c r="G215" s="2">
        <v>19</v>
      </c>
      <c r="H215" s="6">
        <f>27/2</f>
        <v>13.5</v>
      </c>
    </row>
    <row r="216" spans="1:8" x14ac:dyDescent="0.2">
      <c r="A216" s="2" t="s">
        <v>754</v>
      </c>
      <c r="B216" s="2">
        <v>2015</v>
      </c>
      <c r="C216" s="2">
        <v>6</v>
      </c>
      <c r="D216" s="7">
        <v>17.5626</v>
      </c>
      <c r="E216" s="7">
        <v>5.33</v>
      </c>
      <c r="F216" s="2">
        <v>0</v>
      </c>
      <c r="G216" s="2">
        <v>-13</v>
      </c>
      <c r="H216" s="5">
        <v>0</v>
      </c>
    </row>
    <row r="217" spans="1:8" x14ac:dyDescent="0.2">
      <c r="A217" s="2" t="s">
        <v>966</v>
      </c>
      <c r="B217" s="2">
        <v>2015</v>
      </c>
      <c r="C217" s="2">
        <v>6</v>
      </c>
      <c r="D217" s="7">
        <v>17.536200000000001</v>
      </c>
      <c r="E217" s="7">
        <v>4.37</v>
      </c>
      <c r="F217" s="2">
        <v>0</v>
      </c>
      <c r="G217" s="2">
        <v>-1</v>
      </c>
      <c r="H217" s="5">
        <v>0</v>
      </c>
    </row>
    <row r="218" spans="1:8" x14ac:dyDescent="0.2">
      <c r="A218" s="2" t="s">
        <v>32</v>
      </c>
      <c r="B218" s="2">
        <v>2015</v>
      </c>
      <c r="C218" s="2">
        <v>7</v>
      </c>
      <c r="D218" s="7">
        <v>21.608499999999999</v>
      </c>
      <c r="E218" s="7">
        <v>4.82</v>
      </c>
      <c r="F218" s="2">
        <v>2</v>
      </c>
      <c r="G218" s="2">
        <v>7</v>
      </c>
      <c r="H218" s="6">
        <f>18/2</f>
        <v>9</v>
      </c>
    </row>
    <row r="219" spans="1:8" x14ac:dyDescent="0.2">
      <c r="A219" s="2" t="s">
        <v>10</v>
      </c>
      <c r="B219" s="2">
        <v>2015</v>
      </c>
      <c r="C219" s="2">
        <v>7</v>
      </c>
      <c r="D219" s="7">
        <v>21.048300000000001</v>
      </c>
      <c r="E219" s="7">
        <v>1.93</v>
      </c>
      <c r="F219" s="2">
        <v>4</v>
      </c>
      <c r="G219" s="2">
        <v>3</v>
      </c>
      <c r="H219" s="6">
        <f>23/4</f>
        <v>5.75</v>
      </c>
    </row>
    <row r="220" spans="1:8" x14ac:dyDescent="0.2">
      <c r="A220" s="2" t="s">
        <v>615</v>
      </c>
      <c r="B220" s="2">
        <v>2015</v>
      </c>
      <c r="C220" s="2">
        <v>7</v>
      </c>
      <c r="D220" s="7">
        <v>18.240300000000001</v>
      </c>
      <c r="E220" s="7">
        <v>2.59</v>
      </c>
      <c r="F220" s="2">
        <v>1</v>
      </c>
      <c r="G220" s="2">
        <v>12</v>
      </c>
      <c r="H220" s="6">
        <v>31</v>
      </c>
    </row>
    <row r="221" spans="1:8" x14ac:dyDescent="0.2">
      <c r="A221" s="2" t="s">
        <v>18</v>
      </c>
      <c r="B221" s="2">
        <v>2015</v>
      </c>
      <c r="C221" s="2">
        <v>7</v>
      </c>
      <c r="D221" s="7">
        <v>16.3063</v>
      </c>
      <c r="E221" s="7">
        <v>10.14</v>
      </c>
      <c r="F221" s="2">
        <v>0</v>
      </c>
      <c r="G221" s="2">
        <v>-3</v>
      </c>
      <c r="H221" s="5">
        <v>0</v>
      </c>
    </row>
    <row r="222" spans="1:8" x14ac:dyDescent="0.2">
      <c r="A222" s="2" t="s">
        <v>143</v>
      </c>
      <c r="B222" s="2">
        <v>2015</v>
      </c>
      <c r="C222" s="2">
        <v>8</v>
      </c>
      <c r="D222" s="7">
        <v>16.1998</v>
      </c>
      <c r="E222" s="7">
        <v>5.92</v>
      </c>
      <c r="F222" s="2">
        <v>1</v>
      </c>
      <c r="G222" s="2">
        <v>-7</v>
      </c>
      <c r="H222" s="5">
        <v>12</v>
      </c>
    </row>
    <row r="223" spans="1:8" x14ac:dyDescent="0.2">
      <c r="A223" s="2" t="s">
        <v>31</v>
      </c>
      <c r="B223" s="2">
        <v>2015</v>
      </c>
      <c r="C223" s="2">
        <v>8</v>
      </c>
      <c r="D223" s="7">
        <v>15.3605</v>
      </c>
      <c r="E223" s="7">
        <v>4.17</v>
      </c>
      <c r="F223" s="2">
        <v>2</v>
      </c>
      <c r="G223" s="2">
        <v>-6</v>
      </c>
      <c r="H223" s="6">
        <f>4/2</f>
        <v>2</v>
      </c>
    </row>
    <row r="224" spans="1:8" x14ac:dyDescent="0.2">
      <c r="A224" s="2" t="s">
        <v>37</v>
      </c>
      <c r="B224" s="2">
        <v>2015</v>
      </c>
      <c r="C224" s="2">
        <v>8</v>
      </c>
      <c r="D224" s="7">
        <v>14.243</v>
      </c>
      <c r="E224" s="7">
        <v>5.12</v>
      </c>
      <c r="F224" s="2">
        <v>1</v>
      </c>
      <c r="G224" s="2">
        <v>-12</v>
      </c>
      <c r="H224" s="5">
        <v>1</v>
      </c>
    </row>
    <row r="225" spans="1:8" x14ac:dyDescent="0.2">
      <c r="A225" s="2" t="s">
        <v>44</v>
      </c>
      <c r="B225" s="2">
        <v>2015</v>
      </c>
      <c r="C225" s="2">
        <v>8</v>
      </c>
      <c r="D225" s="7">
        <v>13.2179</v>
      </c>
      <c r="E225" s="7">
        <v>1.77</v>
      </c>
      <c r="F225" s="2">
        <v>1</v>
      </c>
      <c r="G225" s="2">
        <v>-1</v>
      </c>
      <c r="H225" s="5">
        <v>6</v>
      </c>
    </row>
    <row r="226" spans="1:8" x14ac:dyDescent="0.2">
      <c r="A226" s="2" t="s">
        <v>19</v>
      </c>
      <c r="B226" s="2">
        <v>2015</v>
      </c>
      <c r="C226" s="2">
        <v>9</v>
      </c>
      <c r="D226" s="7">
        <v>16.1463</v>
      </c>
      <c r="E226" s="7">
        <v>0.18</v>
      </c>
      <c r="F226" s="2">
        <v>0</v>
      </c>
      <c r="G226" s="2">
        <v>-6</v>
      </c>
      <c r="H226" s="5">
        <v>0</v>
      </c>
    </row>
    <row r="227" spans="1:8" x14ac:dyDescent="0.2">
      <c r="A227" s="2" t="s">
        <v>220</v>
      </c>
      <c r="B227" s="2">
        <v>2015</v>
      </c>
      <c r="C227" s="2">
        <v>9</v>
      </c>
      <c r="D227" s="7">
        <v>14.3005</v>
      </c>
      <c r="E227" s="7">
        <v>2.85</v>
      </c>
      <c r="F227" s="2">
        <v>0</v>
      </c>
      <c r="G227" s="2">
        <v>-12</v>
      </c>
      <c r="H227" s="5">
        <v>0</v>
      </c>
    </row>
    <row r="228" spans="1:8" x14ac:dyDescent="0.2">
      <c r="A228" s="2" t="s">
        <v>74</v>
      </c>
      <c r="B228" s="2">
        <v>2015</v>
      </c>
      <c r="C228" s="2">
        <v>9</v>
      </c>
      <c r="D228" s="7">
        <v>13.9634</v>
      </c>
      <c r="E228" s="7">
        <v>0.62</v>
      </c>
      <c r="F228" s="2">
        <v>0</v>
      </c>
      <c r="G228" s="2">
        <v>-1</v>
      </c>
      <c r="H228" s="5">
        <v>0</v>
      </c>
    </row>
    <row r="229" spans="1:8" x14ac:dyDescent="0.2">
      <c r="A229" s="2" t="s">
        <v>383</v>
      </c>
      <c r="B229" s="2">
        <v>2015</v>
      </c>
      <c r="C229" s="2">
        <v>9</v>
      </c>
      <c r="D229" s="7">
        <v>13.9596</v>
      </c>
      <c r="E229" s="7">
        <v>-1.88</v>
      </c>
      <c r="F229" s="2">
        <v>0</v>
      </c>
      <c r="G229" s="2">
        <v>-1</v>
      </c>
      <c r="H229" s="5">
        <v>0</v>
      </c>
    </row>
    <row r="230" spans="1:8" x14ac:dyDescent="0.2">
      <c r="A230" s="2" t="s">
        <v>5</v>
      </c>
      <c r="B230" s="4">
        <v>2015</v>
      </c>
      <c r="C230" s="2">
        <v>10</v>
      </c>
      <c r="D230" s="7">
        <v>21.034600000000001</v>
      </c>
      <c r="E230" s="7">
        <v>-2.0099999999999998</v>
      </c>
      <c r="F230" s="2">
        <v>1</v>
      </c>
      <c r="G230" s="2">
        <v>-12</v>
      </c>
      <c r="H230" s="5">
        <v>3</v>
      </c>
    </row>
    <row r="231" spans="1:8" x14ac:dyDescent="0.2">
      <c r="A231" s="2" t="s">
        <v>51</v>
      </c>
      <c r="B231" s="4">
        <v>2015</v>
      </c>
      <c r="C231" s="2">
        <v>10</v>
      </c>
      <c r="D231" s="7">
        <v>16.7683</v>
      </c>
      <c r="E231" s="7">
        <v>-3.07</v>
      </c>
      <c r="F231" s="2">
        <v>0</v>
      </c>
      <c r="G231" s="2">
        <v>-31</v>
      </c>
      <c r="H231" s="5">
        <v>0</v>
      </c>
    </row>
    <row r="232" spans="1:8" x14ac:dyDescent="0.2">
      <c r="A232" s="2" t="s">
        <v>227</v>
      </c>
      <c r="B232" s="4">
        <v>2015</v>
      </c>
      <c r="C232" s="2">
        <v>10</v>
      </c>
      <c r="D232" s="7">
        <v>15.396599999999999</v>
      </c>
      <c r="E232" s="7">
        <v>3.32</v>
      </c>
      <c r="F232" s="2">
        <v>0</v>
      </c>
      <c r="G232" s="2">
        <v>-7</v>
      </c>
      <c r="H232" s="5">
        <v>0</v>
      </c>
    </row>
    <row r="233" spans="1:8" x14ac:dyDescent="0.2">
      <c r="A233" s="2" t="s">
        <v>2</v>
      </c>
      <c r="B233" s="4">
        <v>2015</v>
      </c>
      <c r="C233" s="2">
        <v>10</v>
      </c>
      <c r="D233" s="7">
        <v>13.779199999999999</v>
      </c>
      <c r="E233" s="7">
        <v>-1.1100000000000001</v>
      </c>
      <c r="F233" s="2">
        <v>0</v>
      </c>
      <c r="G233" s="2">
        <v>-5</v>
      </c>
      <c r="H233" s="5">
        <v>0</v>
      </c>
    </row>
    <row r="234" spans="1:8" x14ac:dyDescent="0.2">
      <c r="A234" s="2" t="s">
        <v>78</v>
      </c>
      <c r="B234" s="4">
        <v>2015</v>
      </c>
      <c r="C234" s="2">
        <v>11</v>
      </c>
      <c r="D234" s="7">
        <v>20.084499999999998</v>
      </c>
      <c r="E234" s="7">
        <v>1.58</v>
      </c>
      <c r="F234" s="2">
        <v>0</v>
      </c>
      <c r="G234" s="2">
        <v>-8</v>
      </c>
      <c r="H234" s="5">
        <v>0</v>
      </c>
    </row>
    <row r="235" spans="1:8" x14ac:dyDescent="0.2">
      <c r="A235" s="2" t="s">
        <v>47</v>
      </c>
      <c r="B235" s="4">
        <v>2015</v>
      </c>
      <c r="C235" s="2">
        <v>11</v>
      </c>
      <c r="D235" s="7">
        <v>14.438000000000001</v>
      </c>
      <c r="E235" s="7">
        <v>1.1299999999999999</v>
      </c>
      <c r="F235" s="2">
        <v>0</v>
      </c>
      <c r="G235" s="2">
        <v>-19</v>
      </c>
      <c r="H235" s="5">
        <v>0</v>
      </c>
    </row>
    <row r="236" spans="1:8" x14ac:dyDescent="0.2">
      <c r="A236" s="2" t="s">
        <v>24</v>
      </c>
      <c r="B236" s="4">
        <v>2015</v>
      </c>
      <c r="C236" s="2">
        <v>11</v>
      </c>
      <c r="D236" s="7">
        <v>14.168799999999999</v>
      </c>
      <c r="E236" s="7">
        <v>5.69</v>
      </c>
      <c r="F236" s="2">
        <v>2</v>
      </c>
      <c r="G236" s="2">
        <v>6</v>
      </c>
      <c r="H236" s="6">
        <f>18/2</f>
        <v>9</v>
      </c>
    </row>
    <row r="237" spans="1:8" x14ac:dyDescent="0.2">
      <c r="A237" s="2" t="s">
        <v>385</v>
      </c>
      <c r="B237" s="4">
        <v>2015</v>
      </c>
      <c r="C237" s="2">
        <v>11</v>
      </c>
      <c r="D237" s="7">
        <v>14.136799999999999</v>
      </c>
      <c r="E237" s="7">
        <v>2.57</v>
      </c>
      <c r="F237" s="2">
        <v>1</v>
      </c>
      <c r="G237" s="2">
        <v>7</v>
      </c>
      <c r="H237" s="5">
        <v>13</v>
      </c>
    </row>
    <row r="238" spans="1:8" x14ac:dyDescent="0.2">
      <c r="A238" s="2" t="s">
        <v>390</v>
      </c>
      <c r="B238" s="4">
        <v>2015</v>
      </c>
      <c r="C238" s="2">
        <v>12</v>
      </c>
      <c r="D238" s="7">
        <v>14.0296</v>
      </c>
      <c r="E238" s="7">
        <v>1.1399999999999999</v>
      </c>
      <c r="F238" s="2">
        <v>0</v>
      </c>
      <c r="G238" s="2">
        <v>-7</v>
      </c>
      <c r="H238" s="5">
        <v>0</v>
      </c>
    </row>
    <row r="239" spans="1:8" x14ac:dyDescent="0.2">
      <c r="A239" s="2" t="s">
        <v>967</v>
      </c>
      <c r="B239" s="4">
        <v>2015</v>
      </c>
      <c r="C239" s="2">
        <v>12</v>
      </c>
      <c r="D239" s="7">
        <v>12.3026</v>
      </c>
      <c r="E239" s="7">
        <v>-0.09</v>
      </c>
      <c r="F239" s="2">
        <v>0</v>
      </c>
      <c r="G239" s="2">
        <v>-6</v>
      </c>
      <c r="H239" s="5">
        <v>0</v>
      </c>
    </row>
    <row r="240" spans="1:8" x14ac:dyDescent="0.2">
      <c r="A240" s="2" t="s">
        <v>968</v>
      </c>
      <c r="B240" s="4">
        <v>2015</v>
      </c>
      <c r="C240" s="2">
        <v>12</v>
      </c>
      <c r="D240" s="7">
        <v>6.3864000000000001</v>
      </c>
      <c r="E240" s="7">
        <v>-6.85</v>
      </c>
      <c r="F240" s="2">
        <v>0</v>
      </c>
      <c r="G240" s="2">
        <v>-17</v>
      </c>
      <c r="H240" s="5">
        <v>0</v>
      </c>
    </row>
    <row r="241" spans="1:8" x14ac:dyDescent="0.2">
      <c r="A241" s="2" t="s">
        <v>234</v>
      </c>
      <c r="B241" s="4">
        <v>2015</v>
      </c>
      <c r="C241" s="2">
        <v>12</v>
      </c>
      <c r="D241" s="7">
        <v>6.3784000000000001</v>
      </c>
      <c r="E241" s="7">
        <v>5.1100000000000003</v>
      </c>
      <c r="F241" s="2">
        <v>0</v>
      </c>
      <c r="G241" s="2">
        <v>-3</v>
      </c>
      <c r="H241" s="5">
        <v>0</v>
      </c>
    </row>
    <row r="242" spans="1:8" x14ac:dyDescent="0.2">
      <c r="A242" s="2" t="s">
        <v>52</v>
      </c>
      <c r="B242" s="4">
        <v>2015</v>
      </c>
      <c r="C242" s="2">
        <v>13</v>
      </c>
      <c r="D242" s="7">
        <v>10.9749</v>
      </c>
      <c r="E242" s="7">
        <v>-4.2</v>
      </c>
      <c r="F242" s="2">
        <v>0</v>
      </c>
      <c r="G242" s="2">
        <v>-3</v>
      </c>
      <c r="H242" s="5">
        <v>0</v>
      </c>
    </row>
    <row r="243" spans="1:8" x14ac:dyDescent="0.2">
      <c r="A243" s="2" t="s">
        <v>53</v>
      </c>
      <c r="B243" s="4">
        <v>2015</v>
      </c>
      <c r="C243" s="2">
        <v>13</v>
      </c>
      <c r="D243" s="7">
        <v>8.7939000000000007</v>
      </c>
      <c r="E243" s="7">
        <v>0.14000000000000001</v>
      </c>
      <c r="F243" s="2">
        <v>0</v>
      </c>
      <c r="G243" s="2">
        <v>-2</v>
      </c>
      <c r="H243" s="5">
        <v>0</v>
      </c>
    </row>
    <row r="244" spans="1:8" x14ac:dyDescent="0.2">
      <c r="A244" s="2" t="s">
        <v>1184</v>
      </c>
      <c r="B244" s="4">
        <v>2015</v>
      </c>
      <c r="C244" s="2">
        <v>13</v>
      </c>
      <c r="D244" s="7">
        <v>6.8611000000000004</v>
      </c>
      <c r="E244" s="7">
        <v>0.72</v>
      </c>
      <c r="F244" s="2">
        <v>0</v>
      </c>
      <c r="G244" s="2">
        <v>-2</v>
      </c>
      <c r="H244" s="5">
        <v>0</v>
      </c>
    </row>
    <row r="245" spans="1:8" x14ac:dyDescent="0.2">
      <c r="A245" s="2" t="s">
        <v>760</v>
      </c>
      <c r="B245" s="4">
        <v>2015</v>
      </c>
      <c r="C245" s="2">
        <v>13</v>
      </c>
      <c r="D245" s="7">
        <v>2.9668999999999999</v>
      </c>
      <c r="E245" s="7">
        <v>1.1599999999999999</v>
      </c>
      <c r="F245" s="2">
        <v>0</v>
      </c>
      <c r="G245" s="2">
        <v>-10</v>
      </c>
      <c r="H245" s="5">
        <v>0</v>
      </c>
    </row>
    <row r="246" spans="1:8" x14ac:dyDescent="0.2">
      <c r="A246" s="2" t="s">
        <v>970</v>
      </c>
      <c r="B246" s="4">
        <v>2015</v>
      </c>
      <c r="C246" s="2">
        <v>14</v>
      </c>
      <c r="D246" s="7">
        <v>9.8878000000000004</v>
      </c>
      <c r="E246" s="7">
        <v>1.06</v>
      </c>
      <c r="F246" s="2">
        <v>1</v>
      </c>
      <c r="G246" s="2">
        <v>-7</v>
      </c>
      <c r="H246" s="5">
        <v>1</v>
      </c>
    </row>
    <row r="247" spans="1:8" x14ac:dyDescent="0.2">
      <c r="A247" s="2" t="s">
        <v>969</v>
      </c>
      <c r="B247" s="4">
        <v>2015</v>
      </c>
      <c r="C247" s="2">
        <v>14</v>
      </c>
      <c r="D247" s="7">
        <v>4.8118999999999996</v>
      </c>
      <c r="E247" s="7">
        <v>0.4</v>
      </c>
      <c r="F247" s="2">
        <v>0</v>
      </c>
      <c r="G247" s="2">
        <v>-4</v>
      </c>
      <c r="H247" s="6">
        <v>0</v>
      </c>
    </row>
    <row r="248" spans="1:8" x14ac:dyDescent="0.2">
      <c r="A248" s="2" t="s">
        <v>56</v>
      </c>
      <c r="B248" s="4">
        <v>2015</v>
      </c>
      <c r="C248" s="2">
        <v>14</v>
      </c>
      <c r="D248" s="7">
        <v>3.0674999999999999</v>
      </c>
      <c r="E248" s="7">
        <v>-2.2200000000000002</v>
      </c>
      <c r="F248" s="2">
        <v>0</v>
      </c>
      <c r="G248" s="2">
        <v>-9</v>
      </c>
      <c r="H248" s="6">
        <v>0</v>
      </c>
    </row>
    <row r="249" spans="1:8" x14ac:dyDescent="0.2">
      <c r="A249" s="2" t="s">
        <v>616</v>
      </c>
      <c r="B249" s="4">
        <v>2015</v>
      </c>
      <c r="C249" s="2">
        <v>14</v>
      </c>
      <c r="D249" s="7">
        <v>2.8279000000000001</v>
      </c>
      <c r="E249" s="7">
        <v>6.02</v>
      </c>
      <c r="F249" s="2">
        <v>1</v>
      </c>
      <c r="G249" s="2">
        <v>-16</v>
      </c>
      <c r="H249" s="5">
        <v>1</v>
      </c>
    </row>
    <row r="250" spans="1:8" x14ac:dyDescent="0.2">
      <c r="A250" s="2" t="s">
        <v>49</v>
      </c>
      <c r="B250" s="4">
        <v>2015</v>
      </c>
      <c r="C250" s="2">
        <v>15</v>
      </c>
      <c r="D250" s="7">
        <v>6.9726999999999997</v>
      </c>
      <c r="E250" s="7">
        <v>2.04</v>
      </c>
      <c r="F250" s="2">
        <v>0</v>
      </c>
      <c r="G250" s="2">
        <v>-19</v>
      </c>
      <c r="H250" s="5">
        <v>0</v>
      </c>
    </row>
    <row r="251" spans="1:8" x14ac:dyDescent="0.2">
      <c r="A251" s="2" t="s">
        <v>42</v>
      </c>
      <c r="B251" s="4">
        <v>2015</v>
      </c>
      <c r="C251" s="2">
        <v>15</v>
      </c>
      <c r="D251" s="7">
        <v>1.5081</v>
      </c>
      <c r="E251" s="7">
        <v>-2.29</v>
      </c>
      <c r="F251" s="2">
        <v>0</v>
      </c>
      <c r="G251" s="2">
        <v>-12</v>
      </c>
      <c r="H251" s="5">
        <v>0</v>
      </c>
    </row>
    <row r="252" spans="1:8" x14ac:dyDescent="0.2">
      <c r="A252" s="2" t="s">
        <v>389</v>
      </c>
      <c r="B252" s="4">
        <v>2015</v>
      </c>
      <c r="C252" s="2">
        <v>15</v>
      </c>
      <c r="D252" s="7">
        <v>0.56830000000000003</v>
      </c>
      <c r="E252" s="7">
        <v>-5.7</v>
      </c>
      <c r="F252" s="2">
        <v>0</v>
      </c>
      <c r="G252" s="2">
        <v>-10</v>
      </c>
      <c r="H252" s="5">
        <v>0</v>
      </c>
    </row>
    <row r="253" spans="1:8" x14ac:dyDescent="0.2">
      <c r="A253" s="2" t="s">
        <v>971</v>
      </c>
      <c r="B253" s="4">
        <v>2015</v>
      </c>
      <c r="C253" s="2">
        <v>15</v>
      </c>
      <c r="D253" s="7">
        <v>-3.8948999999999998</v>
      </c>
      <c r="E253" s="7">
        <v>9.56</v>
      </c>
      <c r="F253" s="2">
        <v>0</v>
      </c>
      <c r="G253" s="2">
        <v>-21</v>
      </c>
      <c r="H253" s="5">
        <v>0</v>
      </c>
    </row>
    <row r="254" spans="1:8" x14ac:dyDescent="0.2">
      <c r="A254" s="2" t="s">
        <v>903</v>
      </c>
      <c r="B254" s="4">
        <v>2015</v>
      </c>
      <c r="C254" s="2">
        <v>16</v>
      </c>
      <c r="D254" s="7">
        <v>1.6103000000000001</v>
      </c>
      <c r="E254" s="7">
        <v>-4.66</v>
      </c>
      <c r="F254" s="2">
        <v>0</v>
      </c>
      <c r="G254" s="2">
        <v>-14</v>
      </c>
      <c r="H254" s="5">
        <v>0</v>
      </c>
    </row>
    <row r="255" spans="1:8" x14ac:dyDescent="0.2">
      <c r="A255" s="2" t="s">
        <v>314</v>
      </c>
      <c r="B255" s="4">
        <v>2015</v>
      </c>
      <c r="C255" s="2">
        <v>16</v>
      </c>
      <c r="D255" s="7">
        <v>-1.5714999999999999</v>
      </c>
      <c r="E255" s="7">
        <v>2.13</v>
      </c>
      <c r="F255" s="2">
        <v>0</v>
      </c>
      <c r="G255" s="2">
        <v>-29</v>
      </c>
      <c r="H255" s="5">
        <v>0</v>
      </c>
    </row>
    <row r="256" spans="1:8" x14ac:dyDescent="0.2">
      <c r="A256" s="2" t="s">
        <v>972</v>
      </c>
      <c r="B256" s="4">
        <v>2015</v>
      </c>
      <c r="C256" s="2">
        <v>16</v>
      </c>
      <c r="D256" s="7">
        <v>-1.7070000000000001</v>
      </c>
      <c r="E256" s="7">
        <v>-1.04</v>
      </c>
      <c r="F256" s="2">
        <v>0</v>
      </c>
      <c r="G256" s="2">
        <v>-41</v>
      </c>
      <c r="H256" s="5">
        <v>0</v>
      </c>
    </row>
    <row r="257" spans="1:8" x14ac:dyDescent="0.2">
      <c r="A257" s="2" t="s">
        <v>241</v>
      </c>
      <c r="B257" s="4">
        <v>2015</v>
      </c>
      <c r="C257" s="2">
        <v>16</v>
      </c>
      <c r="D257" s="7">
        <v>-8.4804999999999993</v>
      </c>
      <c r="E257" s="7">
        <v>-3.16</v>
      </c>
      <c r="F257" s="2">
        <v>0</v>
      </c>
      <c r="G257" s="2">
        <v>-23</v>
      </c>
      <c r="H257" s="5">
        <v>0</v>
      </c>
    </row>
    <row r="258" spans="1:8" x14ac:dyDescent="0.2">
      <c r="A258" s="2" t="s">
        <v>21</v>
      </c>
      <c r="B258" s="2">
        <v>2014</v>
      </c>
      <c r="C258" s="2">
        <v>1</v>
      </c>
      <c r="D258" s="7">
        <v>30.462499999999999</v>
      </c>
      <c r="E258" s="7">
        <v>5.62</v>
      </c>
      <c r="F258" s="2">
        <v>3</v>
      </c>
      <c r="G258" s="2">
        <v>37</v>
      </c>
      <c r="H258" s="5">
        <f>38/3</f>
        <v>12.666666666666666</v>
      </c>
    </row>
    <row r="259" spans="1:8" x14ac:dyDescent="0.2">
      <c r="A259" s="2" t="s">
        <v>9</v>
      </c>
      <c r="B259" s="2">
        <v>2014</v>
      </c>
      <c r="C259" s="2">
        <v>1</v>
      </c>
      <c r="D259" s="7">
        <v>27.974699999999999</v>
      </c>
      <c r="E259" s="7">
        <v>5.64</v>
      </c>
      <c r="F259" s="2">
        <v>4</v>
      </c>
      <c r="G259" s="2">
        <v>39</v>
      </c>
      <c r="H259" s="6">
        <f>49/4</f>
        <v>12.25</v>
      </c>
    </row>
    <row r="260" spans="1:8" x14ac:dyDescent="0.2">
      <c r="A260" s="2" t="s">
        <v>75</v>
      </c>
      <c r="B260" s="2">
        <v>2014</v>
      </c>
      <c r="C260" s="2">
        <v>1</v>
      </c>
      <c r="D260" s="7">
        <v>25.9282</v>
      </c>
      <c r="E260" s="7">
        <v>4.12</v>
      </c>
      <c r="F260" s="2">
        <v>2</v>
      </c>
      <c r="G260" s="2">
        <v>27</v>
      </c>
      <c r="H260" s="6">
        <f>29/2</f>
        <v>14.5</v>
      </c>
    </row>
    <row r="261" spans="1:8" x14ac:dyDescent="0.2">
      <c r="A261" s="2" t="s">
        <v>32</v>
      </c>
      <c r="B261" s="2">
        <v>2014</v>
      </c>
      <c r="C261" s="2">
        <v>1</v>
      </c>
      <c r="D261" s="7">
        <v>25.1935</v>
      </c>
      <c r="E261" s="7">
        <v>4.84</v>
      </c>
      <c r="F261" s="2">
        <v>1</v>
      </c>
      <c r="G261" s="2">
        <v>25</v>
      </c>
      <c r="H261" s="5">
        <v>27</v>
      </c>
    </row>
    <row r="262" spans="1:8" x14ac:dyDescent="0.2">
      <c r="A262" s="2" t="s">
        <v>4</v>
      </c>
      <c r="B262" s="2">
        <v>2014</v>
      </c>
      <c r="C262" s="2">
        <v>2</v>
      </c>
      <c r="D262" s="7">
        <v>25.3505</v>
      </c>
      <c r="E262" s="7">
        <v>11.58</v>
      </c>
      <c r="F262" s="2">
        <v>1</v>
      </c>
      <c r="G262" s="2">
        <v>8</v>
      </c>
      <c r="H262" s="5">
        <v>11</v>
      </c>
    </row>
    <row r="263" spans="1:8" x14ac:dyDescent="0.2">
      <c r="A263" s="2" t="s">
        <v>34</v>
      </c>
      <c r="B263" s="2">
        <v>2014</v>
      </c>
      <c r="C263" s="2">
        <v>2</v>
      </c>
      <c r="D263" s="7">
        <v>25.1706</v>
      </c>
      <c r="E263" s="7">
        <v>4.5199999999999996</v>
      </c>
      <c r="F263" s="2">
        <v>1</v>
      </c>
      <c r="G263" s="2">
        <v>8</v>
      </c>
      <c r="H263" s="5">
        <v>20</v>
      </c>
    </row>
    <row r="264" spans="1:8" x14ac:dyDescent="0.2">
      <c r="A264" s="2" t="s">
        <v>17</v>
      </c>
      <c r="B264" s="2">
        <v>2014</v>
      </c>
      <c r="C264" s="2">
        <v>2</v>
      </c>
      <c r="D264" s="7">
        <v>23.7836</v>
      </c>
      <c r="E264" s="7">
        <v>6.15</v>
      </c>
      <c r="F264" s="2">
        <v>4</v>
      </c>
      <c r="G264" s="2">
        <v>65</v>
      </c>
      <c r="H264" s="6">
        <f>66/4</f>
        <v>16.5</v>
      </c>
    </row>
    <row r="265" spans="1:8" x14ac:dyDescent="0.2">
      <c r="A265" s="2" t="s">
        <v>13</v>
      </c>
      <c r="B265" s="2">
        <v>2014</v>
      </c>
      <c r="C265" s="2">
        <v>2</v>
      </c>
      <c r="D265" s="7">
        <v>23.645600000000002</v>
      </c>
      <c r="E265" s="7">
        <v>2.5499999999999998</v>
      </c>
      <c r="F265" s="2">
        <v>3</v>
      </c>
      <c r="G265" s="2">
        <v>30</v>
      </c>
      <c r="H265" s="6">
        <f>33/3</f>
        <v>11</v>
      </c>
    </row>
    <row r="266" spans="1:8" x14ac:dyDescent="0.2">
      <c r="A266" s="2" t="s">
        <v>6</v>
      </c>
      <c r="B266" s="2">
        <v>2014</v>
      </c>
      <c r="C266" s="2">
        <v>3</v>
      </c>
      <c r="D266" s="7">
        <v>25.836300000000001</v>
      </c>
      <c r="E266" s="7">
        <v>6.25</v>
      </c>
      <c r="F266" s="2">
        <v>0</v>
      </c>
      <c r="G266" s="2">
        <v>-7</v>
      </c>
      <c r="H266" s="5">
        <v>0</v>
      </c>
    </row>
    <row r="267" spans="1:8" x14ac:dyDescent="0.2">
      <c r="A267" s="2" t="s">
        <v>25</v>
      </c>
      <c r="B267" s="2">
        <v>2014</v>
      </c>
      <c r="C267" s="2">
        <v>3</v>
      </c>
      <c r="D267" s="7">
        <v>24.735900000000001</v>
      </c>
      <c r="E267" s="7">
        <v>3.47</v>
      </c>
      <c r="F267" s="2">
        <v>1</v>
      </c>
      <c r="G267" s="2">
        <v>-20</v>
      </c>
      <c r="H267" s="5">
        <v>10</v>
      </c>
    </row>
    <row r="268" spans="1:8" x14ac:dyDescent="0.2">
      <c r="A268" s="2" t="s">
        <v>14</v>
      </c>
      <c r="B268" s="2">
        <v>2014</v>
      </c>
      <c r="C268" s="2">
        <v>3</v>
      </c>
      <c r="D268" s="7">
        <v>21.492699999999999</v>
      </c>
      <c r="E268" s="7">
        <v>2.97</v>
      </c>
      <c r="F268" s="2">
        <v>1</v>
      </c>
      <c r="G268" s="2">
        <v>22</v>
      </c>
      <c r="H268" s="5">
        <v>24</v>
      </c>
    </row>
    <row r="269" spans="1:8" x14ac:dyDescent="0.2">
      <c r="A269" s="2" t="s">
        <v>36</v>
      </c>
      <c r="B269" s="2">
        <v>2014</v>
      </c>
      <c r="C269" s="2">
        <v>3</v>
      </c>
      <c r="D269" s="7">
        <v>20.938400000000001</v>
      </c>
      <c r="E269" s="7">
        <v>3.88</v>
      </c>
      <c r="F269" s="2">
        <v>2</v>
      </c>
      <c r="G269" s="2">
        <v>15</v>
      </c>
      <c r="H269" s="6">
        <f>20/2</f>
        <v>10</v>
      </c>
    </row>
    <row r="270" spans="1:8" x14ac:dyDescent="0.2">
      <c r="A270" s="2" t="s">
        <v>1</v>
      </c>
      <c r="B270" s="2">
        <v>2014</v>
      </c>
      <c r="C270" s="2">
        <v>4</v>
      </c>
      <c r="D270" s="7">
        <v>30.531600000000001</v>
      </c>
      <c r="E270" s="7">
        <v>-1.38</v>
      </c>
      <c r="F270" s="2">
        <v>2</v>
      </c>
      <c r="G270" s="2">
        <v>17</v>
      </c>
      <c r="H270" s="6">
        <f>22/2</f>
        <v>11</v>
      </c>
    </row>
    <row r="271" spans="1:8" x14ac:dyDescent="0.2">
      <c r="A271" s="2" t="s">
        <v>10</v>
      </c>
      <c r="B271" s="2">
        <v>2014</v>
      </c>
      <c r="C271" s="2">
        <v>4</v>
      </c>
      <c r="D271" s="7">
        <v>22.934699999999999</v>
      </c>
      <c r="E271" s="7">
        <v>3.26</v>
      </c>
      <c r="F271" s="2">
        <v>3</v>
      </c>
      <c r="G271" s="2">
        <v>18</v>
      </c>
      <c r="H271" s="6">
        <f>24/3</f>
        <v>8</v>
      </c>
    </row>
    <row r="272" spans="1:8" x14ac:dyDescent="0.2">
      <c r="A272" s="2" t="s">
        <v>24</v>
      </c>
      <c r="B272" s="2">
        <v>2014</v>
      </c>
      <c r="C272" s="2">
        <v>4</v>
      </c>
      <c r="D272" s="7">
        <v>22.2913</v>
      </c>
      <c r="E272" s="7">
        <v>0.46</v>
      </c>
      <c r="F272" s="2">
        <v>2</v>
      </c>
      <c r="G272" s="2">
        <v>23</v>
      </c>
      <c r="H272" s="6">
        <f>34/2</f>
        <v>17</v>
      </c>
    </row>
    <row r="273" spans="1:8" x14ac:dyDescent="0.2">
      <c r="A273" s="2" t="s">
        <v>143</v>
      </c>
      <c r="B273" s="2">
        <v>2014</v>
      </c>
      <c r="C273" s="2">
        <v>4</v>
      </c>
      <c r="D273" s="7">
        <v>19.812100000000001</v>
      </c>
      <c r="E273" s="7">
        <v>3.98</v>
      </c>
      <c r="F273" s="2">
        <v>2</v>
      </c>
      <c r="G273" s="2">
        <v>17</v>
      </c>
      <c r="H273" s="6">
        <f>23/2</f>
        <v>11.5</v>
      </c>
    </row>
    <row r="274" spans="1:8" x14ac:dyDescent="0.2">
      <c r="A274" s="2" t="s">
        <v>18</v>
      </c>
      <c r="B274" s="2">
        <v>2014</v>
      </c>
      <c r="C274" s="2">
        <v>5</v>
      </c>
      <c r="D274" s="7">
        <v>20.709499999999998</v>
      </c>
      <c r="E274" s="7">
        <v>3.31</v>
      </c>
      <c r="F274" s="2">
        <v>0</v>
      </c>
      <c r="G274" s="2">
        <v>-2</v>
      </c>
      <c r="H274" s="5">
        <v>0</v>
      </c>
    </row>
    <row r="275" spans="1:8" x14ac:dyDescent="0.2">
      <c r="A275" s="2" t="s">
        <v>37</v>
      </c>
      <c r="B275" s="2">
        <v>2014</v>
      </c>
      <c r="C275" s="2">
        <v>5</v>
      </c>
      <c r="D275" s="7">
        <v>19.0731</v>
      </c>
      <c r="E275" s="7">
        <v>0.24</v>
      </c>
      <c r="F275" s="2">
        <v>0</v>
      </c>
      <c r="G275" s="2">
        <v>-4</v>
      </c>
      <c r="H275" s="5">
        <v>0</v>
      </c>
    </row>
    <row r="276" spans="1:8" x14ac:dyDescent="0.2">
      <c r="A276" s="2" t="s">
        <v>38</v>
      </c>
      <c r="B276" s="2">
        <v>2014</v>
      </c>
      <c r="C276" s="2">
        <v>5</v>
      </c>
      <c r="D276" s="7">
        <v>18.321200000000001</v>
      </c>
      <c r="E276" s="7">
        <v>3.09</v>
      </c>
      <c r="F276" s="2">
        <v>0</v>
      </c>
      <c r="G276" s="2">
        <v>-5</v>
      </c>
      <c r="H276" s="5">
        <v>0</v>
      </c>
    </row>
    <row r="277" spans="1:8" x14ac:dyDescent="0.2">
      <c r="A277" s="2" t="s">
        <v>15</v>
      </c>
      <c r="B277" s="2">
        <v>2014</v>
      </c>
      <c r="C277" s="2">
        <v>5</v>
      </c>
      <c r="D277" s="7">
        <v>15.799200000000001</v>
      </c>
      <c r="E277" s="7">
        <v>-0.09</v>
      </c>
      <c r="F277" s="2">
        <v>1</v>
      </c>
      <c r="G277" s="2">
        <v>-12</v>
      </c>
      <c r="H277" s="5">
        <v>3</v>
      </c>
    </row>
    <row r="278" spans="1:8" x14ac:dyDescent="0.2">
      <c r="A278" s="2" t="s">
        <v>5</v>
      </c>
      <c r="B278" s="2">
        <v>2014</v>
      </c>
      <c r="C278" s="2">
        <v>6</v>
      </c>
      <c r="D278" s="7">
        <v>21.695</v>
      </c>
      <c r="E278" s="7">
        <v>1.37</v>
      </c>
      <c r="F278" s="2">
        <v>0</v>
      </c>
      <c r="G278" s="2">
        <v>-1</v>
      </c>
      <c r="H278" s="5">
        <v>0</v>
      </c>
    </row>
    <row r="279" spans="1:8" x14ac:dyDescent="0.2">
      <c r="A279" s="2" t="s">
        <v>29</v>
      </c>
      <c r="B279" s="2">
        <v>2014</v>
      </c>
      <c r="C279" s="2">
        <v>6</v>
      </c>
      <c r="D279" s="7">
        <v>18.390799999999999</v>
      </c>
      <c r="E279" s="7">
        <v>4.45</v>
      </c>
      <c r="F279" s="2">
        <v>1</v>
      </c>
      <c r="G279" s="2">
        <v>0</v>
      </c>
      <c r="H279" s="5">
        <v>2</v>
      </c>
    </row>
    <row r="280" spans="1:8" x14ac:dyDescent="0.2">
      <c r="A280" s="2" t="s">
        <v>68</v>
      </c>
      <c r="B280" s="2">
        <v>2014</v>
      </c>
      <c r="C280" s="2">
        <v>6</v>
      </c>
      <c r="D280" s="7">
        <v>17.797799999999999</v>
      </c>
      <c r="E280" s="7">
        <v>4.2699999999999996</v>
      </c>
      <c r="F280" s="2">
        <v>2</v>
      </c>
      <c r="G280" s="2">
        <v>27</v>
      </c>
      <c r="H280" s="6">
        <f>44/2</f>
        <v>22</v>
      </c>
    </row>
    <row r="281" spans="1:8" x14ac:dyDescent="0.2">
      <c r="A281" s="2" t="s">
        <v>895</v>
      </c>
      <c r="B281" s="2">
        <v>2014</v>
      </c>
      <c r="C281" s="2">
        <v>6</v>
      </c>
      <c r="D281" s="7">
        <v>14.141400000000001</v>
      </c>
      <c r="E281" s="7">
        <v>6.05</v>
      </c>
      <c r="F281" s="2">
        <v>0</v>
      </c>
      <c r="G281" s="2">
        <v>-19</v>
      </c>
      <c r="H281" s="5">
        <v>0</v>
      </c>
    </row>
    <row r="282" spans="1:8" x14ac:dyDescent="0.2">
      <c r="A282" s="2" t="s">
        <v>90</v>
      </c>
      <c r="B282" s="2">
        <v>2014</v>
      </c>
      <c r="C282" s="2">
        <v>7</v>
      </c>
      <c r="D282" s="7">
        <v>19.087599999999998</v>
      </c>
      <c r="E282" s="7">
        <v>3.98</v>
      </c>
      <c r="F282" s="2">
        <v>6</v>
      </c>
      <c r="G282" s="2">
        <v>47</v>
      </c>
      <c r="H282" s="6">
        <f>47/6</f>
        <v>7.833333333333333</v>
      </c>
    </row>
    <row r="283" spans="1:8" x14ac:dyDescent="0.2">
      <c r="A283" s="2" t="s">
        <v>44</v>
      </c>
      <c r="B283" s="2">
        <v>2014</v>
      </c>
      <c r="C283" s="2">
        <v>7</v>
      </c>
      <c r="D283" s="7">
        <v>18.773900000000001</v>
      </c>
      <c r="E283" s="7">
        <v>2.89</v>
      </c>
      <c r="F283" s="2">
        <v>1</v>
      </c>
      <c r="G283" s="2">
        <v>11</v>
      </c>
      <c r="H283" s="5">
        <v>19</v>
      </c>
    </row>
    <row r="284" spans="1:8" x14ac:dyDescent="0.2">
      <c r="A284" s="2" t="s">
        <v>11</v>
      </c>
      <c r="B284" s="2">
        <v>2014</v>
      </c>
      <c r="C284" s="2">
        <v>7</v>
      </c>
      <c r="D284" s="7">
        <v>17.572299999999998</v>
      </c>
      <c r="E284" s="7">
        <v>5.36</v>
      </c>
      <c r="F284" s="2">
        <v>0</v>
      </c>
      <c r="G284" s="2">
        <v>-5</v>
      </c>
      <c r="H284" s="5">
        <v>0</v>
      </c>
    </row>
    <row r="285" spans="1:8" x14ac:dyDescent="0.2">
      <c r="A285" s="2" t="s">
        <v>78</v>
      </c>
      <c r="B285" s="2">
        <v>2014</v>
      </c>
      <c r="C285" s="2">
        <v>7</v>
      </c>
      <c r="D285" s="7">
        <v>14.93</v>
      </c>
      <c r="E285" s="7">
        <v>1.33</v>
      </c>
      <c r="F285" s="2">
        <v>1</v>
      </c>
      <c r="G285" s="2">
        <v>-12</v>
      </c>
      <c r="H285" s="5">
        <v>2</v>
      </c>
    </row>
    <row r="286" spans="1:8" x14ac:dyDescent="0.2">
      <c r="A286" s="2" t="s">
        <v>66</v>
      </c>
      <c r="B286" s="2">
        <v>2014</v>
      </c>
      <c r="C286" s="2">
        <v>8</v>
      </c>
      <c r="D286" s="7">
        <v>20.958500000000001</v>
      </c>
      <c r="E286" s="7">
        <v>7.72</v>
      </c>
      <c r="F286" s="2">
        <v>5</v>
      </c>
      <c r="G286" s="2">
        <v>12</v>
      </c>
      <c r="H286" s="6">
        <f>18/5</f>
        <v>3.6</v>
      </c>
    </row>
    <row r="287" spans="1:8" x14ac:dyDescent="0.2">
      <c r="A287" s="2" t="s">
        <v>3</v>
      </c>
      <c r="B287" s="2">
        <v>2014</v>
      </c>
      <c r="C287" s="2">
        <v>8</v>
      </c>
      <c r="D287" s="7">
        <v>20.6252</v>
      </c>
      <c r="E287" s="7">
        <v>4.3</v>
      </c>
      <c r="F287" s="2">
        <v>1</v>
      </c>
      <c r="G287" s="2">
        <v>-15</v>
      </c>
      <c r="H287" s="5">
        <v>8</v>
      </c>
    </row>
    <row r="288" spans="1:8" x14ac:dyDescent="0.2">
      <c r="A288" s="2" t="s">
        <v>22</v>
      </c>
      <c r="B288" s="2">
        <v>2014</v>
      </c>
      <c r="C288" s="2">
        <v>8</v>
      </c>
      <c r="D288" s="7">
        <v>14.9064</v>
      </c>
      <c r="E288" s="7">
        <v>3.02</v>
      </c>
      <c r="F288" s="2">
        <v>1</v>
      </c>
      <c r="G288" s="2">
        <v>-13</v>
      </c>
      <c r="H288" s="5">
        <v>5</v>
      </c>
    </row>
    <row r="289" spans="1:8" x14ac:dyDescent="0.2">
      <c r="A289" s="2" t="s">
        <v>39</v>
      </c>
      <c r="B289" s="2">
        <v>2014</v>
      </c>
      <c r="C289" s="2">
        <v>8</v>
      </c>
      <c r="D289" s="7">
        <v>12.500500000000001</v>
      </c>
      <c r="E289" s="7">
        <v>4.55</v>
      </c>
      <c r="F289" s="2">
        <v>0</v>
      </c>
      <c r="G289" s="2">
        <v>-29</v>
      </c>
      <c r="H289" s="5">
        <v>0</v>
      </c>
    </row>
    <row r="290" spans="1:8" x14ac:dyDescent="0.2">
      <c r="A290" s="2" t="s">
        <v>28</v>
      </c>
      <c r="B290" s="2">
        <v>2014</v>
      </c>
      <c r="C290" s="2">
        <v>9</v>
      </c>
      <c r="D290" s="7">
        <v>21.4925</v>
      </c>
      <c r="E290" s="7">
        <v>0.77</v>
      </c>
      <c r="F290" s="2">
        <v>1</v>
      </c>
      <c r="G290" s="2">
        <v>13</v>
      </c>
      <c r="H290" s="5">
        <v>29</v>
      </c>
    </row>
    <row r="291" spans="1:8" x14ac:dyDescent="0.2">
      <c r="A291" s="2" t="s">
        <v>19</v>
      </c>
      <c r="B291" s="2">
        <v>2014</v>
      </c>
      <c r="C291" s="2">
        <v>9</v>
      </c>
      <c r="D291" s="7">
        <v>21.467099999999999</v>
      </c>
      <c r="E291" s="7">
        <v>1.29</v>
      </c>
      <c r="F291" s="2">
        <v>0</v>
      </c>
      <c r="G291" s="2">
        <v>-8</v>
      </c>
      <c r="H291" s="5">
        <v>0</v>
      </c>
    </row>
    <row r="292" spans="1:8" x14ac:dyDescent="0.2">
      <c r="A292" s="2" t="s">
        <v>16</v>
      </c>
      <c r="B292" s="2">
        <v>2014</v>
      </c>
      <c r="C292" s="2">
        <v>9</v>
      </c>
      <c r="D292" s="7">
        <v>14.344200000000001</v>
      </c>
      <c r="E292" s="7">
        <v>-0.2</v>
      </c>
      <c r="F292" s="2">
        <v>0</v>
      </c>
      <c r="G292" s="2">
        <v>-7</v>
      </c>
      <c r="H292" s="5">
        <v>0</v>
      </c>
    </row>
    <row r="293" spans="1:8" x14ac:dyDescent="0.2">
      <c r="A293" s="2" t="s">
        <v>540</v>
      </c>
      <c r="B293" s="2">
        <v>2014</v>
      </c>
      <c r="C293" s="2">
        <v>9</v>
      </c>
      <c r="D293" s="7">
        <v>14.199199999999999</v>
      </c>
      <c r="E293" s="7">
        <v>1.45</v>
      </c>
      <c r="F293" s="2">
        <v>0</v>
      </c>
      <c r="G293" s="2">
        <v>-5</v>
      </c>
      <c r="H293" s="5">
        <v>0</v>
      </c>
    </row>
    <row r="294" spans="1:8" x14ac:dyDescent="0.2">
      <c r="A294" s="2" t="s">
        <v>459</v>
      </c>
      <c r="B294" s="2">
        <v>2014</v>
      </c>
      <c r="C294" s="2">
        <v>10</v>
      </c>
      <c r="D294" s="7">
        <v>16.011600000000001</v>
      </c>
      <c r="E294" s="7">
        <v>4.99</v>
      </c>
      <c r="F294" s="2">
        <v>2</v>
      </c>
      <c r="G294" s="2">
        <v>-2</v>
      </c>
      <c r="H294" s="6">
        <f>8/2</f>
        <v>4</v>
      </c>
    </row>
    <row r="295" spans="1:8" x14ac:dyDescent="0.2">
      <c r="A295" s="2" t="s">
        <v>381</v>
      </c>
      <c r="B295" s="2">
        <v>2014</v>
      </c>
      <c r="C295" s="2">
        <v>10</v>
      </c>
      <c r="D295" s="7">
        <v>15.4414</v>
      </c>
      <c r="E295" s="7">
        <v>-0.06</v>
      </c>
      <c r="F295" s="2">
        <v>0</v>
      </c>
      <c r="G295" s="2">
        <v>-2</v>
      </c>
      <c r="H295" s="5">
        <v>0</v>
      </c>
    </row>
    <row r="296" spans="1:8" x14ac:dyDescent="0.2">
      <c r="A296" s="2" t="s">
        <v>83</v>
      </c>
      <c r="B296" s="2">
        <v>2014</v>
      </c>
      <c r="C296" s="2">
        <v>10</v>
      </c>
      <c r="D296" s="7">
        <v>14.743499999999999</v>
      </c>
      <c r="E296" s="7">
        <v>8.44</v>
      </c>
      <c r="F296" s="2">
        <v>0</v>
      </c>
      <c r="G296" s="2">
        <v>-19</v>
      </c>
      <c r="H296" s="5">
        <v>0</v>
      </c>
    </row>
    <row r="297" spans="1:8" x14ac:dyDescent="0.2">
      <c r="A297" s="2" t="s">
        <v>465</v>
      </c>
      <c r="B297" s="2">
        <v>2014</v>
      </c>
      <c r="C297" s="2">
        <v>10</v>
      </c>
      <c r="D297" s="7">
        <v>12.5152</v>
      </c>
      <c r="E297" s="7">
        <v>1.58</v>
      </c>
      <c r="F297" s="2">
        <v>0</v>
      </c>
      <c r="G297" s="2">
        <v>-8</v>
      </c>
      <c r="H297" s="5">
        <v>0</v>
      </c>
    </row>
    <row r="298" spans="1:8" x14ac:dyDescent="0.2">
      <c r="A298" s="2" t="s">
        <v>225</v>
      </c>
      <c r="B298" s="2">
        <v>2014</v>
      </c>
      <c r="C298" s="2">
        <v>11</v>
      </c>
      <c r="D298" s="7">
        <v>21.711400000000001</v>
      </c>
      <c r="E298" s="7">
        <v>4.08</v>
      </c>
      <c r="F298" s="2">
        <v>2</v>
      </c>
      <c r="G298" s="2">
        <v>37</v>
      </c>
      <c r="H298" s="6">
        <f>39/2</f>
        <v>19.5</v>
      </c>
    </row>
    <row r="299" spans="1:8" x14ac:dyDescent="0.2">
      <c r="A299" s="2" t="s">
        <v>754</v>
      </c>
      <c r="B299" s="2">
        <v>2014</v>
      </c>
      <c r="C299" s="2">
        <v>11</v>
      </c>
      <c r="D299" s="7">
        <v>14.687799999999999</v>
      </c>
      <c r="E299" s="7">
        <v>3.13</v>
      </c>
      <c r="F299" s="2">
        <v>0</v>
      </c>
      <c r="G299" s="2">
        <v>-2</v>
      </c>
      <c r="H299" s="5">
        <v>0</v>
      </c>
    </row>
    <row r="300" spans="1:8" x14ac:dyDescent="0.2">
      <c r="A300" s="2" t="s">
        <v>896</v>
      </c>
      <c r="B300" s="2">
        <v>2014</v>
      </c>
      <c r="C300" s="2">
        <v>11</v>
      </c>
      <c r="D300" s="7">
        <v>13.1913</v>
      </c>
      <c r="E300" s="7">
        <v>1.0900000000000001</v>
      </c>
      <c r="F300" s="2">
        <v>0</v>
      </c>
      <c r="G300" s="2">
        <v>-14</v>
      </c>
      <c r="H300" s="5">
        <v>0</v>
      </c>
    </row>
    <row r="301" spans="1:8" x14ac:dyDescent="0.2">
      <c r="A301" s="2" t="s">
        <v>385</v>
      </c>
      <c r="B301" s="2">
        <v>2014</v>
      </c>
      <c r="C301" s="2">
        <v>11</v>
      </c>
      <c r="D301" s="7">
        <v>12.9392</v>
      </c>
      <c r="E301" s="7">
        <v>1.74</v>
      </c>
      <c r="F301" s="2">
        <v>3</v>
      </c>
      <c r="G301" s="2">
        <v>3</v>
      </c>
      <c r="H301" s="6">
        <f>13/3</f>
        <v>4.333333333333333</v>
      </c>
    </row>
    <row r="302" spans="1:8" x14ac:dyDescent="0.2">
      <c r="A302" s="2" t="s">
        <v>53</v>
      </c>
      <c r="B302" s="2">
        <v>2014</v>
      </c>
      <c r="C302" s="2">
        <v>12</v>
      </c>
      <c r="D302" s="7">
        <v>17.3002</v>
      </c>
      <c r="E302" s="7">
        <v>-0.02</v>
      </c>
      <c r="F302" s="2">
        <v>1</v>
      </c>
      <c r="G302" s="2">
        <v>-3</v>
      </c>
      <c r="H302" s="5">
        <v>4</v>
      </c>
    </row>
    <row r="303" spans="1:8" x14ac:dyDescent="0.2">
      <c r="A303" s="2" t="s">
        <v>389</v>
      </c>
      <c r="B303" s="2">
        <v>2014</v>
      </c>
      <c r="C303" s="2">
        <v>12</v>
      </c>
      <c r="D303" s="7">
        <v>12.574400000000001</v>
      </c>
      <c r="E303" s="7">
        <v>2.96</v>
      </c>
      <c r="F303" s="2">
        <v>1</v>
      </c>
      <c r="G303" s="2">
        <v>-14</v>
      </c>
      <c r="H303" s="5">
        <v>5</v>
      </c>
    </row>
    <row r="304" spans="1:8" x14ac:dyDescent="0.2">
      <c r="A304" s="2" t="s">
        <v>390</v>
      </c>
      <c r="B304" s="2">
        <v>2014</v>
      </c>
      <c r="C304" s="2">
        <v>12</v>
      </c>
      <c r="D304" s="7">
        <v>10.8071</v>
      </c>
      <c r="E304" s="7">
        <v>-5.96</v>
      </c>
      <c r="F304" s="2">
        <v>1</v>
      </c>
      <c r="G304" s="2">
        <v>-15</v>
      </c>
      <c r="H304" s="5">
        <v>2</v>
      </c>
    </row>
    <row r="305" spans="1:8" x14ac:dyDescent="0.2">
      <c r="A305" s="2" t="s">
        <v>31</v>
      </c>
      <c r="B305" s="2">
        <v>2014</v>
      </c>
      <c r="C305" s="2">
        <v>12</v>
      </c>
      <c r="D305" s="7">
        <v>10.538399999999999</v>
      </c>
      <c r="E305" s="7">
        <v>-0.16</v>
      </c>
      <c r="F305" s="2">
        <v>0</v>
      </c>
      <c r="G305" s="2">
        <v>-3</v>
      </c>
      <c r="H305" s="5">
        <v>0</v>
      </c>
    </row>
    <row r="306" spans="1:8" x14ac:dyDescent="0.2">
      <c r="A306" s="2" t="s">
        <v>49</v>
      </c>
      <c r="B306" s="2">
        <v>2014</v>
      </c>
      <c r="C306" s="2">
        <v>13</v>
      </c>
      <c r="D306" s="7">
        <v>10.672000000000001</v>
      </c>
      <c r="E306" s="7">
        <v>1.98</v>
      </c>
      <c r="F306" s="2">
        <v>0</v>
      </c>
      <c r="G306" s="2">
        <v>-4</v>
      </c>
      <c r="H306" s="5">
        <v>0</v>
      </c>
    </row>
    <row r="307" spans="1:8" x14ac:dyDescent="0.2">
      <c r="A307" s="2" t="s">
        <v>758</v>
      </c>
      <c r="B307" s="2">
        <v>2014</v>
      </c>
      <c r="C307" s="2">
        <v>13</v>
      </c>
      <c r="D307" s="7">
        <v>9.5222999999999995</v>
      </c>
      <c r="E307" s="7">
        <v>1.22</v>
      </c>
      <c r="F307" s="2">
        <v>0</v>
      </c>
      <c r="G307" s="2">
        <v>-7</v>
      </c>
      <c r="H307" s="5">
        <v>0</v>
      </c>
    </row>
    <row r="308" spans="1:8" x14ac:dyDescent="0.2">
      <c r="A308" s="2" t="s">
        <v>828</v>
      </c>
      <c r="B308" s="2">
        <v>2014</v>
      </c>
      <c r="C308" s="2">
        <v>13</v>
      </c>
      <c r="D308" s="7">
        <v>9.3399000000000001</v>
      </c>
      <c r="E308" s="7">
        <v>3.13</v>
      </c>
      <c r="F308" s="2">
        <v>0</v>
      </c>
      <c r="G308" s="2">
        <v>-17</v>
      </c>
      <c r="H308" s="5">
        <v>0</v>
      </c>
    </row>
    <row r="309" spans="1:8" x14ac:dyDescent="0.2">
      <c r="A309" s="2" t="s">
        <v>897</v>
      </c>
      <c r="B309" s="2">
        <v>2014</v>
      </c>
      <c r="C309" s="2">
        <v>13</v>
      </c>
      <c r="D309" s="7">
        <v>5.8009000000000004</v>
      </c>
      <c r="E309" s="7">
        <v>0.85</v>
      </c>
      <c r="F309" s="2">
        <v>0</v>
      </c>
      <c r="G309" s="2">
        <v>-15</v>
      </c>
      <c r="H309" s="5">
        <v>0</v>
      </c>
    </row>
    <row r="310" spans="1:8" x14ac:dyDescent="0.2">
      <c r="A310" s="2" t="s">
        <v>898</v>
      </c>
      <c r="B310" s="2">
        <v>2014</v>
      </c>
      <c r="C310" s="2">
        <v>14</v>
      </c>
      <c r="D310" s="7">
        <v>8.3097999999999992</v>
      </c>
      <c r="E310" s="7">
        <v>-3.58</v>
      </c>
      <c r="F310" s="2">
        <v>0</v>
      </c>
      <c r="G310" s="2">
        <v>-18</v>
      </c>
      <c r="H310" s="5">
        <v>0</v>
      </c>
    </row>
    <row r="311" spans="1:8" x14ac:dyDescent="0.2">
      <c r="A311" s="2" t="s">
        <v>899</v>
      </c>
      <c r="B311" s="2">
        <v>2014</v>
      </c>
      <c r="C311" s="2">
        <v>14</v>
      </c>
      <c r="D311" s="7">
        <v>7.4973999999999998</v>
      </c>
      <c r="E311" s="7">
        <v>3.32</v>
      </c>
      <c r="F311" s="2">
        <v>1</v>
      </c>
      <c r="G311" s="2">
        <v>-13</v>
      </c>
      <c r="H311" s="5">
        <v>7</v>
      </c>
    </row>
    <row r="312" spans="1:8" x14ac:dyDescent="0.2">
      <c r="A312" s="2" t="s">
        <v>901</v>
      </c>
      <c r="B312" s="2">
        <v>2014</v>
      </c>
      <c r="C312" s="2">
        <v>14</v>
      </c>
      <c r="D312" s="7">
        <v>4.7873999999999999</v>
      </c>
      <c r="E312" s="7">
        <v>3.39</v>
      </c>
      <c r="F312" s="2">
        <v>0</v>
      </c>
      <c r="G312" s="2">
        <v>-10</v>
      </c>
      <c r="H312" s="5">
        <v>0</v>
      </c>
    </row>
    <row r="313" spans="1:8" x14ac:dyDescent="0.2">
      <c r="A313" s="2" t="s">
        <v>757</v>
      </c>
      <c r="B313" s="2">
        <v>2014</v>
      </c>
      <c r="C313" s="2">
        <v>14</v>
      </c>
      <c r="D313" s="7">
        <v>4.3989000000000003</v>
      </c>
      <c r="E313" s="7">
        <v>-3.09</v>
      </c>
      <c r="F313" s="2">
        <v>0</v>
      </c>
      <c r="G313" s="2">
        <v>-24</v>
      </c>
      <c r="H313" s="5">
        <v>0</v>
      </c>
    </row>
    <row r="314" spans="1:8" x14ac:dyDescent="0.2">
      <c r="A314" s="2" t="s">
        <v>391</v>
      </c>
      <c r="B314" s="2">
        <v>2014</v>
      </c>
      <c r="C314" s="2">
        <v>15</v>
      </c>
      <c r="D314" s="7">
        <v>5.8396999999999997</v>
      </c>
      <c r="E314" s="7">
        <v>-3.27</v>
      </c>
      <c r="F314" s="2">
        <v>0</v>
      </c>
      <c r="G314" s="2">
        <v>-40</v>
      </c>
      <c r="H314" s="5">
        <v>0</v>
      </c>
    </row>
    <row r="315" spans="1:8" x14ac:dyDescent="0.2">
      <c r="A315" s="2" t="s">
        <v>548</v>
      </c>
      <c r="B315" s="2">
        <v>2014</v>
      </c>
      <c r="C315" s="2">
        <v>15</v>
      </c>
      <c r="D315" s="7">
        <v>3.0377000000000001</v>
      </c>
      <c r="E315" s="7">
        <v>-5.13</v>
      </c>
      <c r="F315" s="2">
        <v>0</v>
      </c>
      <c r="G315" s="2">
        <v>-11</v>
      </c>
      <c r="H315" s="5">
        <v>0</v>
      </c>
    </row>
    <row r="316" spans="1:8" x14ac:dyDescent="0.2">
      <c r="A316" s="2" t="s">
        <v>900</v>
      </c>
      <c r="B316" s="2">
        <v>2014</v>
      </c>
      <c r="C316" s="2">
        <v>15</v>
      </c>
      <c r="D316" s="7">
        <v>0.3891</v>
      </c>
      <c r="E316" s="7">
        <v>-4.04</v>
      </c>
      <c r="F316" s="2">
        <v>0</v>
      </c>
      <c r="G316" s="2">
        <v>-20</v>
      </c>
      <c r="H316" s="5">
        <v>0</v>
      </c>
    </row>
    <row r="317" spans="1:8" x14ac:dyDescent="0.2">
      <c r="A317" s="2" t="s">
        <v>234</v>
      </c>
      <c r="B317" s="2">
        <v>2014</v>
      </c>
      <c r="C317" s="2">
        <v>15</v>
      </c>
      <c r="D317" s="7">
        <v>-2.0169999999999999</v>
      </c>
      <c r="E317" s="7">
        <v>3.72</v>
      </c>
      <c r="F317" s="2">
        <v>0</v>
      </c>
      <c r="G317" s="2">
        <v>-17</v>
      </c>
      <c r="H317" s="5">
        <v>0</v>
      </c>
    </row>
    <row r="318" spans="1:8" x14ac:dyDescent="0.2">
      <c r="A318" s="2" t="s">
        <v>546</v>
      </c>
      <c r="B318" s="2">
        <v>2014</v>
      </c>
      <c r="C318" s="2">
        <v>16</v>
      </c>
      <c r="D318" s="7">
        <v>-0.43359999999999999</v>
      </c>
      <c r="E318" s="7">
        <v>4.3600000000000003</v>
      </c>
      <c r="F318" s="2">
        <v>0</v>
      </c>
      <c r="G318" s="2">
        <v>-9</v>
      </c>
      <c r="H318" s="5">
        <v>0</v>
      </c>
    </row>
    <row r="319" spans="1:8" x14ac:dyDescent="0.2">
      <c r="A319" s="2" t="s">
        <v>902</v>
      </c>
      <c r="B319" s="2">
        <v>2014</v>
      </c>
      <c r="C319" s="2">
        <v>16</v>
      </c>
      <c r="D319" s="7">
        <v>-0.54120000000000001</v>
      </c>
      <c r="E319" s="7">
        <v>7.3</v>
      </c>
      <c r="F319" s="2">
        <v>0</v>
      </c>
      <c r="G319" s="2">
        <v>-27</v>
      </c>
      <c r="H319" s="5">
        <v>0</v>
      </c>
    </row>
    <row r="320" spans="1:8" x14ac:dyDescent="0.2">
      <c r="A320" s="2" t="s">
        <v>903</v>
      </c>
      <c r="B320" s="2">
        <v>2014</v>
      </c>
      <c r="C320" s="2">
        <v>16</v>
      </c>
      <c r="D320" s="7">
        <v>-0.59870000000000001</v>
      </c>
      <c r="E320" s="7">
        <v>-3.97</v>
      </c>
      <c r="F320" s="2">
        <v>0</v>
      </c>
      <c r="G320" s="2">
        <v>-11</v>
      </c>
      <c r="H320" s="5">
        <v>0</v>
      </c>
    </row>
    <row r="321" spans="1:8" x14ac:dyDescent="0.2">
      <c r="A321" s="2" t="s">
        <v>56</v>
      </c>
      <c r="B321" s="2">
        <v>2014</v>
      </c>
      <c r="C321" s="2">
        <v>16</v>
      </c>
      <c r="D321" s="7">
        <v>-1.6930000000000001</v>
      </c>
      <c r="E321" s="7">
        <v>-1.5</v>
      </c>
      <c r="F321" s="2">
        <v>0</v>
      </c>
      <c r="G321" s="2">
        <v>-12</v>
      </c>
      <c r="H321" s="5">
        <v>0</v>
      </c>
    </row>
    <row r="322" spans="1:8" x14ac:dyDescent="0.2">
      <c r="A322" s="2" t="s">
        <v>1</v>
      </c>
      <c r="B322" s="2">
        <v>2013</v>
      </c>
      <c r="C322" s="2">
        <v>1</v>
      </c>
      <c r="D322" s="7">
        <v>31.1477</v>
      </c>
      <c r="E322" s="7">
        <v>4.3</v>
      </c>
      <c r="F322" s="2">
        <v>6</v>
      </c>
      <c r="G322" s="2">
        <v>97</v>
      </c>
      <c r="H322" s="5">
        <f>(97/6)</f>
        <v>16.166666666666668</v>
      </c>
    </row>
    <row r="323" spans="1:8" x14ac:dyDescent="0.2">
      <c r="A323" s="2" t="s">
        <v>2</v>
      </c>
      <c r="B323" s="2">
        <v>2013</v>
      </c>
      <c r="C323" s="2">
        <v>1</v>
      </c>
      <c r="D323" s="7">
        <v>29.8796</v>
      </c>
      <c r="E323" s="7">
        <v>-0.55000000000000004</v>
      </c>
      <c r="F323" s="2">
        <v>2</v>
      </c>
      <c r="G323" s="2">
        <v>16</v>
      </c>
      <c r="H323" s="5">
        <f>(27/2)</f>
        <v>13.5</v>
      </c>
    </row>
    <row r="324" spans="1:8" x14ac:dyDescent="0.2">
      <c r="A324" s="2" t="s">
        <v>3</v>
      </c>
      <c r="B324" s="2">
        <v>2013</v>
      </c>
      <c r="C324" s="2">
        <v>1</v>
      </c>
      <c r="D324" s="7">
        <v>28.908000000000001</v>
      </c>
      <c r="E324" s="7">
        <v>6.74</v>
      </c>
      <c r="F324" s="2">
        <v>1</v>
      </c>
      <c r="G324" s="2">
        <v>0</v>
      </c>
      <c r="H324" s="5">
        <v>6</v>
      </c>
    </row>
    <row r="325" spans="1:8" x14ac:dyDescent="0.2">
      <c r="A325" s="2" t="s">
        <v>4</v>
      </c>
      <c r="B325" s="2">
        <v>2013</v>
      </c>
      <c r="C325" s="2">
        <v>1</v>
      </c>
      <c r="D325" s="7">
        <v>25.3429</v>
      </c>
      <c r="E325" s="7">
        <v>6.76</v>
      </c>
      <c r="F325" s="2">
        <v>2</v>
      </c>
      <c r="G325" s="2">
        <v>17</v>
      </c>
      <c r="H325" s="5">
        <f>(19/2)</f>
        <v>9.5</v>
      </c>
    </row>
    <row r="326" spans="1:8" x14ac:dyDescent="0.2">
      <c r="A326" s="2" t="s">
        <v>6</v>
      </c>
      <c r="B326" s="2">
        <v>2013</v>
      </c>
      <c r="C326" s="2">
        <v>2</v>
      </c>
      <c r="D326" s="7">
        <v>26.691700000000001</v>
      </c>
      <c r="E326" s="7">
        <v>9.73</v>
      </c>
      <c r="F326" s="2">
        <v>3</v>
      </c>
      <c r="G326" s="2">
        <v>16</v>
      </c>
      <c r="H326" s="5">
        <f>(38/3)</f>
        <v>12.666666666666666</v>
      </c>
    </row>
    <row r="327" spans="1:8" x14ac:dyDescent="0.2">
      <c r="A327" s="2" t="s">
        <v>5</v>
      </c>
      <c r="B327" s="2">
        <v>2013</v>
      </c>
      <c r="C327" s="2">
        <v>2</v>
      </c>
      <c r="D327" s="7">
        <v>25.1281</v>
      </c>
      <c r="E327" s="7">
        <v>-0.92</v>
      </c>
      <c r="F327" s="2">
        <v>3</v>
      </c>
      <c r="G327" s="2">
        <v>27</v>
      </c>
      <c r="H327" s="5">
        <f>(31/3)</f>
        <v>10.333333333333334</v>
      </c>
    </row>
    <row r="328" spans="1:8" x14ac:dyDescent="0.2">
      <c r="A328" s="2" t="s">
        <v>8</v>
      </c>
      <c r="B328" s="2">
        <v>2013</v>
      </c>
      <c r="C328" s="2">
        <v>2</v>
      </c>
      <c r="D328" s="7">
        <v>22.288799999999998</v>
      </c>
      <c r="E328" s="7">
        <v>5.49</v>
      </c>
      <c r="F328" s="2">
        <v>2</v>
      </c>
      <c r="G328" s="2">
        <v>23</v>
      </c>
      <c r="H328" s="5">
        <f>(33/2)</f>
        <v>16.5</v>
      </c>
    </row>
    <row r="329" spans="1:8" x14ac:dyDescent="0.2">
      <c r="A329" s="2" t="s">
        <v>7</v>
      </c>
      <c r="B329" s="2">
        <v>2013</v>
      </c>
      <c r="C329" s="2">
        <v>2</v>
      </c>
      <c r="D329" s="7">
        <v>22.118200000000002</v>
      </c>
      <c r="E329" s="7">
        <v>-1.26</v>
      </c>
      <c r="F329" s="2">
        <v>0</v>
      </c>
      <c r="G329" s="2">
        <v>-10</v>
      </c>
      <c r="H329" s="5">
        <v>0</v>
      </c>
    </row>
    <row r="330" spans="1:8" x14ac:dyDescent="0.2">
      <c r="A330" s="2" t="s">
        <v>9</v>
      </c>
      <c r="B330" s="2">
        <v>2013</v>
      </c>
      <c r="C330" s="2">
        <v>3</v>
      </c>
      <c r="D330" s="7">
        <v>31.972000000000001</v>
      </c>
      <c r="E330" s="7">
        <v>5.64</v>
      </c>
      <c r="F330" s="2">
        <v>3</v>
      </c>
      <c r="G330" s="2">
        <v>38</v>
      </c>
      <c r="H330" s="5">
        <f>(58/3)</f>
        <v>19.333333333333332</v>
      </c>
    </row>
    <row r="331" spans="1:8" x14ac:dyDescent="0.2">
      <c r="A331" s="2" t="s">
        <v>10</v>
      </c>
      <c r="B331" s="2">
        <v>2013</v>
      </c>
      <c r="C331" s="2">
        <v>3</v>
      </c>
      <c r="D331" s="7">
        <v>23.1982</v>
      </c>
      <c r="E331" s="7">
        <v>2.64</v>
      </c>
      <c r="F331" s="2">
        <v>2</v>
      </c>
      <c r="G331" s="2">
        <v>23</v>
      </c>
      <c r="H331" s="5">
        <f>(33/2)</f>
        <v>16.5</v>
      </c>
    </row>
    <row r="332" spans="1:8" x14ac:dyDescent="0.2">
      <c r="A332" s="2" t="s">
        <v>11</v>
      </c>
      <c r="B332" s="2">
        <v>2013</v>
      </c>
      <c r="C332" s="2">
        <v>3</v>
      </c>
      <c r="D332" s="7">
        <v>20.682700000000001</v>
      </c>
      <c r="E332" s="7">
        <v>6.21</v>
      </c>
      <c r="F332" s="2">
        <v>0</v>
      </c>
      <c r="G332" s="2">
        <v>-6</v>
      </c>
      <c r="H332" s="5">
        <v>0</v>
      </c>
    </row>
    <row r="333" spans="1:8" x14ac:dyDescent="0.2">
      <c r="A333" s="2" t="s">
        <v>12</v>
      </c>
      <c r="B333" s="2">
        <v>2013</v>
      </c>
      <c r="C333" s="2">
        <v>3</v>
      </c>
      <c r="D333" s="7">
        <v>18.6309</v>
      </c>
      <c r="E333" s="7">
        <v>1.65</v>
      </c>
      <c r="F333" s="2">
        <v>3</v>
      </c>
      <c r="G333" s="2">
        <v>-3</v>
      </c>
      <c r="H333" s="5">
        <f>(13/3)</f>
        <v>4.333333333333333</v>
      </c>
    </row>
    <row r="334" spans="1:8" x14ac:dyDescent="0.2">
      <c r="A334" s="2" t="s">
        <v>13</v>
      </c>
      <c r="B334">
        <v>2013</v>
      </c>
      <c r="C334" s="2">
        <v>4</v>
      </c>
      <c r="D334" s="7">
        <v>24.904199999999999</v>
      </c>
      <c r="E334" s="3">
        <v>0.24</v>
      </c>
      <c r="F334">
        <v>5</v>
      </c>
      <c r="G334">
        <v>61</v>
      </c>
      <c r="H334" s="6">
        <f>(67/5)</f>
        <v>13.4</v>
      </c>
    </row>
    <row r="335" spans="1:8" x14ac:dyDescent="0.2">
      <c r="A335" s="2" t="s">
        <v>14</v>
      </c>
      <c r="B335">
        <v>2013</v>
      </c>
      <c r="C335" s="2">
        <v>4</v>
      </c>
      <c r="D335" s="7">
        <v>22.547999999999998</v>
      </c>
      <c r="E335" s="3">
        <v>-0.15</v>
      </c>
      <c r="F335">
        <v>4</v>
      </c>
      <c r="G335">
        <v>75</v>
      </c>
      <c r="H335" s="6">
        <f>(80/5)</f>
        <v>16</v>
      </c>
    </row>
    <row r="336" spans="1:8" x14ac:dyDescent="0.2">
      <c r="A336" s="2" t="s">
        <v>15</v>
      </c>
      <c r="B336">
        <v>2013</v>
      </c>
      <c r="C336" s="2">
        <v>4</v>
      </c>
      <c r="D336" s="7">
        <v>20.233699999999999</v>
      </c>
      <c r="E336" s="3">
        <v>0.47</v>
      </c>
      <c r="F336">
        <v>1</v>
      </c>
      <c r="G336">
        <v>3</v>
      </c>
      <c r="H336" s="6">
        <v>20</v>
      </c>
    </row>
    <row r="337" spans="1:8" x14ac:dyDescent="0.2">
      <c r="A337" s="2" t="s">
        <v>16</v>
      </c>
      <c r="B337" s="2">
        <v>2013</v>
      </c>
      <c r="C337" s="2">
        <v>4</v>
      </c>
      <c r="D337" s="7">
        <v>18.215399999999999</v>
      </c>
      <c r="E337" s="7">
        <v>0.06</v>
      </c>
      <c r="F337" s="2">
        <v>0</v>
      </c>
      <c r="G337" s="2">
        <v>-2</v>
      </c>
      <c r="H337" s="5">
        <v>0</v>
      </c>
    </row>
    <row r="338" spans="1:8" x14ac:dyDescent="0.2">
      <c r="A338" s="2" t="s">
        <v>17</v>
      </c>
      <c r="B338">
        <v>2013</v>
      </c>
      <c r="C338" s="2">
        <v>5</v>
      </c>
      <c r="D338" s="7">
        <v>22.952999999999999</v>
      </c>
      <c r="E338" s="3">
        <v>1.06</v>
      </c>
      <c r="F338">
        <v>0</v>
      </c>
      <c r="G338">
        <v>-11</v>
      </c>
      <c r="H338" s="6">
        <v>0</v>
      </c>
    </row>
    <row r="339" spans="1:8" x14ac:dyDescent="0.2">
      <c r="A339" s="2" t="s">
        <v>19</v>
      </c>
      <c r="B339">
        <v>2013</v>
      </c>
      <c r="C339" s="2">
        <v>5</v>
      </c>
      <c r="D339" s="7">
        <v>19.3856</v>
      </c>
      <c r="E339" s="3">
        <v>0.88</v>
      </c>
      <c r="F339">
        <v>0</v>
      </c>
      <c r="G339">
        <v>-13</v>
      </c>
      <c r="H339" s="6">
        <v>0</v>
      </c>
    </row>
    <row r="340" spans="1:8" x14ac:dyDescent="0.2">
      <c r="A340" s="2" t="s">
        <v>18</v>
      </c>
      <c r="B340">
        <v>2013</v>
      </c>
      <c r="C340" s="2">
        <v>5</v>
      </c>
      <c r="D340" s="7">
        <v>19.274799999999999</v>
      </c>
      <c r="E340" s="3">
        <v>2.08</v>
      </c>
      <c r="F340">
        <v>1</v>
      </c>
      <c r="G340">
        <v>21</v>
      </c>
      <c r="H340" s="6">
        <v>46</v>
      </c>
    </row>
    <row r="341" spans="1:8" x14ac:dyDescent="0.2">
      <c r="A341" s="2" t="s">
        <v>20</v>
      </c>
      <c r="B341">
        <v>2013</v>
      </c>
      <c r="C341" s="2">
        <v>5</v>
      </c>
      <c r="D341" s="7">
        <v>17.2027</v>
      </c>
      <c r="E341" s="3">
        <v>2.21</v>
      </c>
      <c r="F341">
        <v>0</v>
      </c>
      <c r="G341">
        <v>-3</v>
      </c>
      <c r="H341" s="6">
        <v>0</v>
      </c>
    </row>
    <row r="342" spans="1:8" x14ac:dyDescent="0.2">
      <c r="A342" s="2" t="s">
        <v>21</v>
      </c>
      <c r="B342">
        <v>2013</v>
      </c>
      <c r="C342" s="2">
        <v>6</v>
      </c>
      <c r="D342" s="7">
        <v>20.510200000000001</v>
      </c>
      <c r="E342" s="3">
        <v>3.78</v>
      </c>
      <c r="F342">
        <v>2</v>
      </c>
      <c r="G342">
        <v>37</v>
      </c>
      <c r="H342" s="6">
        <f>(40/2)</f>
        <v>20</v>
      </c>
    </row>
    <row r="343" spans="1:8" x14ac:dyDescent="0.2">
      <c r="A343" s="2" t="s">
        <v>22</v>
      </c>
      <c r="B343">
        <v>2013</v>
      </c>
      <c r="C343" s="2">
        <v>6</v>
      </c>
      <c r="D343" s="7">
        <v>16.654599999999999</v>
      </c>
      <c r="E343" s="3">
        <v>3.17</v>
      </c>
      <c r="F343">
        <v>1</v>
      </c>
      <c r="G343">
        <v>-20</v>
      </c>
      <c r="H343" s="6">
        <v>2</v>
      </c>
    </row>
    <row r="344" spans="1:8" x14ac:dyDescent="0.2">
      <c r="A344" s="2" t="s">
        <v>24</v>
      </c>
      <c r="B344">
        <v>2013</v>
      </c>
      <c r="C344" s="2">
        <v>6</v>
      </c>
      <c r="D344" s="7">
        <v>15.126799999999999</v>
      </c>
      <c r="E344" s="3">
        <v>4.1500000000000004</v>
      </c>
      <c r="F344">
        <v>0</v>
      </c>
      <c r="G344">
        <v>-20</v>
      </c>
      <c r="H344" s="6">
        <v>0</v>
      </c>
    </row>
    <row r="345" spans="1:8" x14ac:dyDescent="0.2">
      <c r="A345" s="2" t="s">
        <v>23</v>
      </c>
      <c r="B345">
        <v>2013</v>
      </c>
      <c r="C345" s="2">
        <v>6</v>
      </c>
      <c r="D345" s="7">
        <v>14.7737</v>
      </c>
      <c r="E345" s="3">
        <v>4.93</v>
      </c>
      <c r="F345">
        <v>1</v>
      </c>
      <c r="G345">
        <v>10</v>
      </c>
      <c r="H345" s="6">
        <v>12</v>
      </c>
    </row>
    <row r="346" spans="1:8" x14ac:dyDescent="0.2">
      <c r="A346" s="2" t="s">
        <v>25</v>
      </c>
      <c r="B346">
        <v>2013</v>
      </c>
      <c r="C346" s="2">
        <v>7</v>
      </c>
      <c r="D346" s="7">
        <v>22.181699999999999</v>
      </c>
      <c r="E346" s="3">
        <v>3.88</v>
      </c>
      <c r="F346">
        <v>1</v>
      </c>
      <c r="G346">
        <v>-12</v>
      </c>
      <c r="H346" s="6">
        <v>4</v>
      </c>
    </row>
    <row r="347" spans="1:8" x14ac:dyDescent="0.2">
      <c r="A347" s="2" t="s">
        <v>143</v>
      </c>
      <c r="B347">
        <v>2013</v>
      </c>
      <c r="C347" s="2">
        <v>7</v>
      </c>
      <c r="D347" s="7">
        <v>18.553699999999999</v>
      </c>
      <c r="E347" s="3">
        <v>3.28</v>
      </c>
      <c r="F347">
        <v>1</v>
      </c>
      <c r="G347">
        <v>5</v>
      </c>
      <c r="H347" s="6">
        <v>15</v>
      </c>
    </row>
    <row r="348" spans="1:8" x14ac:dyDescent="0.2">
      <c r="A348" s="2" t="s">
        <v>26</v>
      </c>
      <c r="B348">
        <v>2013</v>
      </c>
      <c r="C348" s="2">
        <v>7</v>
      </c>
      <c r="D348" s="7">
        <v>17.412600000000001</v>
      </c>
      <c r="E348" s="3">
        <v>-1.71</v>
      </c>
      <c r="F348">
        <v>0</v>
      </c>
      <c r="G348">
        <v>-18</v>
      </c>
      <c r="H348" s="6">
        <v>0</v>
      </c>
    </row>
    <row r="349" spans="1:8" x14ac:dyDescent="0.2">
      <c r="A349" s="2" t="s">
        <v>27</v>
      </c>
      <c r="B349">
        <v>2013</v>
      </c>
      <c r="C349" s="2">
        <v>7</v>
      </c>
      <c r="D349" s="7">
        <v>15.0921</v>
      </c>
      <c r="E349" s="3">
        <v>2.1</v>
      </c>
      <c r="F349">
        <v>1</v>
      </c>
      <c r="G349">
        <v>4</v>
      </c>
      <c r="H349" s="6">
        <v>8</v>
      </c>
    </row>
    <row r="350" spans="1:8" x14ac:dyDescent="0.2">
      <c r="A350" s="2" t="s">
        <v>28</v>
      </c>
      <c r="B350">
        <v>2013</v>
      </c>
      <c r="C350" s="2">
        <v>8</v>
      </c>
      <c r="D350" s="7">
        <v>25.158300000000001</v>
      </c>
      <c r="E350" s="3">
        <v>-4.6900000000000004</v>
      </c>
      <c r="F350">
        <v>0</v>
      </c>
      <c r="G350">
        <v>-18</v>
      </c>
      <c r="H350" s="6">
        <v>0</v>
      </c>
    </row>
    <row r="351" spans="1:8" x14ac:dyDescent="0.2">
      <c r="A351" s="2" t="s">
        <v>30</v>
      </c>
      <c r="B351">
        <v>2013</v>
      </c>
      <c r="C351" s="2">
        <v>8</v>
      </c>
      <c r="D351" s="7">
        <v>20.148</v>
      </c>
      <c r="E351" s="3">
        <v>1.2</v>
      </c>
      <c r="F351">
        <v>1</v>
      </c>
      <c r="G351">
        <v>-14</v>
      </c>
      <c r="H351" s="6">
        <v>12</v>
      </c>
    </row>
    <row r="352" spans="1:8" x14ac:dyDescent="0.2">
      <c r="A352" s="2" t="s">
        <v>31</v>
      </c>
      <c r="B352">
        <v>2013</v>
      </c>
      <c r="C352" s="2">
        <v>8</v>
      </c>
      <c r="D352" s="7">
        <v>17.358699999999999</v>
      </c>
      <c r="E352" s="3">
        <v>3.09</v>
      </c>
      <c r="F352">
        <v>0</v>
      </c>
      <c r="G352">
        <v>-4</v>
      </c>
      <c r="H352" s="6">
        <v>0</v>
      </c>
    </row>
    <row r="353" spans="1:8" x14ac:dyDescent="0.2">
      <c r="A353" s="2" t="s">
        <v>29</v>
      </c>
      <c r="B353">
        <v>2013</v>
      </c>
      <c r="C353" s="2">
        <v>8</v>
      </c>
      <c r="D353" s="7">
        <v>17.146899999999999</v>
      </c>
      <c r="E353" s="3">
        <v>1.1399999999999999</v>
      </c>
      <c r="F353">
        <v>1</v>
      </c>
      <c r="G353">
        <v>-5</v>
      </c>
      <c r="H353" s="6">
        <v>7</v>
      </c>
    </row>
    <row r="354" spans="1:8" x14ac:dyDescent="0.2">
      <c r="A354" s="2" t="s">
        <v>33</v>
      </c>
      <c r="B354">
        <v>2013</v>
      </c>
      <c r="C354" s="2">
        <v>9</v>
      </c>
      <c r="D354" s="7">
        <v>19.2334</v>
      </c>
      <c r="E354" s="3">
        <v>1.38</v>
      </c>
      <c r="F354">
        <v>0</v>
      </c>
      <c r="G354">
        <v>-12</v>
      </c>
      <c r="H354" s="6">
        <v>0</v>
      </c>
    </row>
    <row r="355" spans="1:8" x14ac:dyDescent="0.2">
      <c r="A355" s="2" t="s">
        <v>32</v>
      </c>
      <c r="B355">
        <v>2013</v>
      </c>
      <c r="C355">
        <v>9</v>
      </c>
      <c r="D355" s="7">
        <v>17.352399999999999</v>
      </c>
      <c r="E355" s="3">
        <v>2.66</v>
      </c>
      <c r="F355">
        <v>4</v>
      </c>
      <c r="G355">
        <v>38</v>
      </c>
      <c r="H355" s="6">
        <f>(42/4)</f>
        <v>10.5</v>
      </c>
    </row>
    <row r="356" spans="1:8" x14ac:dyDescent="0.2">
      <c r="A356" s="2" t="s">
        <v>34</v>
      </c>
      <c r="B356">
        <v>2013</v>
      </c>
      <c r="C356">
        <v>9</v>
      </c>
      <c r="D356" s="7">
        <v>14.6249</v>
      </c>
      <c r="E356" s="3">
        <v>1.49</v>
      </c>
      <c r="F356">
        <v>0</v>
      </c>
      <c r="G356">
        <v>-7</v>
      </c>
      <c r="H356" s="6">
        <v>0</v>
      </c>
    </row>
    <row r="357" spans="1:8" x14ac:dyDescent="0.2">
      <c r="A357" s="2" t="s">
        <v>35</v>
      </c>
      <c r="B357">
        <v>2013</v>
      </c>
      <c r="C357">
        <v>9</v>
      </c>
      <c r="D357" s="7">
        <v>11.960100000000001</v>
      </c>
      <c r="E357" s="3">
        <v>2.97</v>
      </c>
      <c r="F357">
        <v>1</v>
      </c>
      <c r="G357">
        <v>-2</v>
      </c>
      <c r="H357" s="6">
        <v>4</v>
      </c>
    </row>
    <row r="358" spans="1:8" x14ac:dyDescent="0.2">
      <c r="A358" s="2" t="s">
        <v>36</v>
      </c>
      <c r="B358">
        <v>2013</v>
      </c>
      <c r="C358">
        <v>10</v>
      </c>
      <c r="D358" s="7">
        <v>16.238800000000001</v>
      </c>
      <c r="E358" s="3">
        <v>-0.49</v>
      </c>
      <c r="F358">
        <v>1</v>
      </c>
      <c r="G358">
        <v>15</v>
      </c>
      <c r="H358" s="6">
        <v>18</v>
      </c>
    </row>
    <row r="359" spans="1:8" x14ac:dyDescent="0.2">
      <c r="A359" s="2" t="s">
        <v>37</v>
      </c>
      <c r="B359">
        <v>2013</v>
      </c>
      <c r="C359">
        <v>10</v>
      </c>
      <c r="D359" s="7">
        <v>15.6279</v>
      </c>
      <c r="E359" s="3">
        <v>-1.82</v>
      </c>
      <c r="F359">
        <v>0</v>
      </c>
      <c r="G359">
        <v>-4</v>
      </c>
      <c r="H359" s="6">
        <v>0</v>
      </c>
    </row>
    <row r="360" spans="1:8" x14ac:dyDescent="0.2">
      <c r="A360" s="2" t="s">
        <v>39</v>
      </c>
      <c r="B360">
        <v>2013</v>
      </c>
      <c r="C360">
        <v>10</v>
      </c>
      <c r="D360" s="7">
        <v>14.745900000000001</v>
      </c>
      <c r="E360" s="3">
        <v>5.19</v>
      </c>
      <c r="F360">
        <v>0</v>
      </c>
      <c r="G360">
        <v>-8</v>
      </c>
      <c r="H360" s="6">
        <v>0</v>
      </c>
    </row>
    <row r="361" spans="1:8" x14ac:dyDescent="0.2">
      <c r="A361" s="2" t="s">
        <v>38</v>
      </c>
      <c r="B361">
        <v>2013</v>
      </c>
      <c r="C361">
        <v>10</v>
      </c>
      <c r="D361" s="7">
        <v>14.280099999999999</v>
      </c>
      <c r="E361" s="3">
        <v>3.31</v>
      </c>
      <c r="F361">
        <v>0</v>
      </c>
      <c r="G361">
        <v>-15</v>
      </c>
      <c r="H361" s="6">
        <v>0</v>
      </c>
    </row>
    <row r="362" spans="1:8" x14ac:dyDescent="0.2">
      <c r="A362" s="2" t="s">
        <v>40</v>
      </c>
      <c r="B362">
        <v>2013</v>
      </c>
      <c r="C362">
        <v>11</v>
      </c>
      <c r="D362" s="7">
        <v>19.111000000000001</v>
      </c>
      <c r="E362" s="3">
        <v>4.88</v>
      </c>
      <c r="F362">
        <v>1</v>
      </c>
      <c r="G362">
        <v>6</v>
      </c>
      <c r="H362" s="6">
        <v>20</v>
      </c>
    </row>
    <row r="363" spans="1:8" x14ac:dyDescent="0.2">
      <c r="A363" s="2" t="s">
        <v>41</v>
      </c>
      <c r="B363">
        <v>2013</v>
      </c>
      <c r="C363">
        <v>11</v>
      </c>
      <c r="D363" s="7">
        <v>18.916699999999999</v>
      </c>
      <c r="E363" s="3">
        <v>1.51</v>
      </c>
      <c r="F363">
        <v>0</v>
      </c>
      <c r="G363">
        <v>-2</v>
      </c>
      <c r="H363" s="6">
        <v>0</v>
      </c>
    </row>
    <row r="364" spans="1:8" x14ac:dyDescent="0.2">
      <c r="A364" s="2" t="s">
        <v>42</v>
      </c>
      <c r="B364">
        <v>2013</v>
      </c>
      <c r="C364">
        <v>11</v>
      </c>
      <c r="D364" s="7">
        <v>15.761200000000001</v>
      </c>
      <c r="E364" s="3">
        <v>5.37</v>
      </c>
      <c r="F364">
        <v>0</v>
      </c>
      <c r="G364">
        <v>-17</v>
      </c>
      <c r="H364" s="6">
        <v>0</v>
      </c>
    </row>
    <row r="365" spans="1:8" x14ac:dyDescent="0.2">
      <c r="A365" s="2" t="s">
        <v>43</v>
      </c>
      <c r="B365">
        <v>2013</v>
      </c>
      <c r="C365">
        <v>11</v>
      </c>
      <c r="D365" s="7">
        <v>13.4229</v>
      </c>
      <c r="E365" s="3">
        <v>1.19</v>
      </c>
      <c r="F365">
        <v>0</v>
      </c>
      <c r="G365">
        <v>-12</v>
      </c>
      <c r="H365" s="6">
        <v>0</v>
      </c>
    </row>
    <row r="366" spans="1:8" x14ac:dyDescent="0.2">
      <c r="A366" s="2" t="s">
        <v>47</v>
      </c>
      <c r="B366">
        <v>2013</v>
      </c>
      <c r="C366">
        <v>12</v>
      </c>
      <c r="D366" s="7">
        <v>16.5305</v>
      </c>
      <c r="E366" s="3">
        <v>-5.29</v>
      </c>
      <c r="F366">
        <v>1</v>
      </c>
      <c r="G366">
        <v>9</v>
      </c>
      <c r="H366" s="6">
        <v>11</v>
      </c>
    </row>
    <row r="367" spans="1:8" x14ac:dyDescent="0.2">
      <c r="A367" s="2" t="s">
        <v>44</v>
      </c>
      <c r="B367">
        <v>2013</v>
      </c>
      <c r="C367">
        <v>12</v>
      </c>
      <c r="D367" s="7">
        <v>14.8225</v>
      </c>
      <c r="E367" s="3">
        <v>-3.88</v>
      </c>
      <c r="F367">
        <v>2</v>
      </c>
      <c r="G367">
        <v>22</v>
      </c>
      <c r="H367" s="6">
        <f>(30/2)</f>
        <v>15</v>
      </c>
    </row>
    <row r="368" spans="1:8" x14ac:dyDescent="0.2">
      <c r="A368" s="2" t="s">
        <v>46</v>
      </c>
      <c r="B368">
        <v>2013</v>
      </c>
      <c r="C368">
        <v>12</v>
      </c>
      <c r="D368" s="7">
        <v>13.7523</v>
      </c>
      <c r="E368" s="3">
        <v>2.2200000000000002</v>
      </c>
      <c r="F368">
        <v>0</v>
      </c>
      <c r="G368">
        <v>-46</v>
      </c>
      <c r="H368" s="6">
        <v>0</v>
      </c>
    </row>
    <row r="369" spans="1:8" x14ac:dyDescent="0.2">
      <c r="A369" s="2" t="s">
        <v>45</v>
      </c>
      <c r="B369">
        <v>2013</v>
      </c>
      <c r="C369">
        <v>12</v>
      </c>
      <c r="D369" s="7">
        <v>12.6752</v>
      </c>
      <c r="E369" s="3">
        <v>4.57</v>
      </c>
      <c r="F369">
        <v>1</v>
      </c>
      <c r="G369">
        <v>-3</v>
      </c>
      <c r="H369" s="6">
        <v>3</v>
      </c>
    </row>
    <row r="370" spans="1:8" x14ac:dyDescent="0.2">
      <c r="A370" s="2" t="s">
        <v>48</v>
      </c>
      <c r="B370">
        <v>2013</v>
      </c>
      <c r="C370">
        <v>13</v>
      </c>
      <c r="D370" s="7">
        <v>13.2439</v>
      </c>
      <c r="E370" s="3">
        <v>-0.14000000000000001</v>
      </c>
      <c r="F370">
        <v>2</v>
      </c>
      <c r="G370">
        <v>-10</v>
      </c>
      <c r="H370" s="6">
        <f>(4/2)</f>
        <v>2</v>
      </c>
    </row>
    <row r="371" spans="1:8" x14ac:dyDescent="0.2">
      <c r="A371" s="2" t="s">
        <v>49</v>
      </c>
      <c r="B371">
        <v>2013</v>
      </c>
      <c r="C371">
        <v>13</v>
      </c>
      <c r="D371" s="7">
        <v>8.8882999999999992</v>
      </c>
      <c r="E371" s="3">
        <v>4.1399999999999997</v>
      </c>
      <c r="F371">
        <v>0</v>
      </c>
      <c r="G371">
        <v>-20</v>
      </c>
      <c r="H371" s="6">
        <v>0</v>
      </c>
    </row>
    <row r="372" spans="1:8" x14ac:dyDescent="0.2">
      <c r="A372" s="2" t="s">
        <v>50</v>
      </c>
      <c r="B372">
        <v>2013</v>
      </c>
      <c r="C372">
        <v>13</v>
      </c>
      <c r="D372" s="7">
        <v>7.1985999999999999</v>
      </c>
      <c r="E372" s="3">
        <v>1.61</v>
      </c>
      <c r="F372">
        <v>0</v>
      </c>
      <c r="G372">
        <v>-15</v>
      </c>
      <c r="H372" s="6">
        <v>0</v>
      </c>
    </row>
    <row r="373" spans="1:8" x14ac:dyDescent="0.2">
      <c r="A373" s="2" t="s">
        <v>59</v>
      </c>
      <c r="B373">
        <v>2013</v>
      </c>
      <c r="C373">
        <v>13</v>
      </c>
      <c r="D373" s="7">
        <v>2.7361</v>
      </c>
      <c r="E373" s="3">
        <v>6.53</v>
      </c>
      <c r="F373">
        <v>0</v>
      </c>
      <c r="G373">
        <v>-47</v>
      </c>
      <c r="H373" s="6">
        <v>0</v>
      </c>
    </row>
    <row r="374" spans="1:8" x14ac:dyDescent="0.2">
      <c r="A374" s="2" t="s">
        <v>52</v>
      </c>
      <c r="B374">
        <v>2013</v>
      </c>
      <c r="C374">
        <v>14</v>
      </c>
      <c r="D374" s="7">
        <v>11.9025</v>
      </c>
      <c r="E374" s="3">
        <v>-3.17</v>
      </c>
      <c r="F374">
        <v>0</v>
      </c>
      <c r="G374">
        <v>-11</v>
      </c>
      <c r="H374" s="6">
        <v>0</v>
      </c>
    </row>
    <row r="375" spans="1:8" x14ac:dyDescent="0.2">
      <c r="A375" s="2" t="s">
        <v>51</v>
      </c>
      <c r="B375">
        <v>2013</v>
      </c>
      <c r="C375">
        <v>14</v>
      </c>
      <c r="D375" s="7">
        <v>11.199199999999999</v>
      </c>
      <c r="E375" s="3">
        <v>5.73</v>
      </c>
      <c r="F375">
        <v>0</v>
      </c>
      <c r="G375">
        <v>-1</v>
      </c>
      <c r="H375" s="6">
        <v>0</v>
      </c>
    </row>
    <row r="376" spans="1:8" x14ac:dyDescent="0.2">
      <c r="A376" s="2" t="s">
        <v>53</v>
      </c>
      <c r="B376">
        <v>2013</v>
      </c>
      <c r="C376">
        <v>14</v>
      </c>
      <c r="D376" s="7">
        <v>6.9260000000000002</v>
      </c>
      <c r="E376" s="3">
        <v>4.32</v>
      </c>
      <c r="F376">
        <v>1</v>
      </c>
      <c r="G376">
        <v>-17</v>
      </c>
      <c r="H376" s="6">
        <v>6</v>
      </c>
    </row>
    <row r="377" spans="1:8" x14ac:dyDescent="0.2">
      <c r="A377" s="2" t="s">
        <v>0</v>
      </c>
      <c r="B377">
        <v>2013</v>
      </c>
      <c r="C377">
        <v>14</v>
      </c>
      <c r="D377" s="7">
        <v>3.2271000000000001</v>
      </c>
      <c r="E377" s="3">
        <v>4.6399999999999997</v>
      </c>
      <c r="F377">
        <v>0</v>
      </c>
      <c r="G377">
        <v>-32</v>
      </c>
      <c r="H377" s="6">
        <v>0</v>
      </c>
    </row>
    <row r="378" spans="1:8" x14ac:dyDescent="0.2">
      <c r="A378" s="2" t="s">
        <v>55</v>
      </c>
      <c r="B378">
        <v>2013</v>
      </c>
      <c r="C378">
        <v>15</v>
      </c>
      <c r="D378" s="7">
        <v>7.8639999999999999</v>
      </c>
      <c r="E378" s="3">
        <v>2.94</v>
      </c>
      <c r="F378">
        <v>0</v>
      </c>
      <c r="G378">
        <v>-25</v>
      </c>
      <c r="H378" s="6">
        <v>0</v>
      </c>
    </row>
    <row r="379" spans="1:8" x14ac:dyDescent="0.2">
      <c r="A379" s="2" t="s">
        <v>57</v>
      </c>
      <c r="B379">
        <v>2013</v>
      </c>
      <c r="C379">
        <v>15</v>
      </c>
      <c r="D379" s="7">
        <v>5.5232000000000001</v>
      </c>
      <c r="E379" s="3">
        <v>9.14</v>
      </c>
      <c r="F379">
        <v>0</v>
      </c>
      <c r="G379">
        <v>-29</v>
      </c>
      <c r="H379" s="6">
        <v>0</v>
      </c>
    </row>
    <row r="380" spans="1:8" x14ac:dyDescent="0.2">
      <c r="A380" s="2" t="s">
        <v>54</v>
      </c>
      <c r="B380">
        <v>2013</v>
      </c>
      <c r="C380">
        <v>15</v>
      </c>
      <c r="D380" s="7">
        <v>3.3428</v>
      </c>
      <c r="E380" s="3">
        <v>4.3600000000000003</v>
      </c>
      <c r="F380">
        <v>2</v>
      </c>
      <c r="G380">
        <v>8</v>
      </c>
      <c r="H380" s="6">
        <f>(20/2)</f>
        <v>10</v>
      </c>
    </row>
    <row r="381" spans="1:8" x14ac:dyDescent="0.2">
      <c r="A381" s="2" t="s">
        <v>56</v>
      </c>
      <c r="B381">
        <v>2013</v>
      </c>
      <c r="C381">
        <v>15</v>
      </c>
      <c r="D381" s="7">
        <v>1.1347</v>
      </c>
      <c r="E381" s="3">
        <v>-6.56</v>
      </c>
      <c r="F381">
        <v>0</v>
      </c>
      <c r="G381">
        <v>-12</v>
      </c>
      <c r="H381" s="6">
        <v>0</v>
      </c>
    </row>
    <row r="382" spans="1:8" x14ac:dyDescent="0.2">
      <c r="A382" s="2" t="s">
        <v>58</v>
      </c>
      <c r="B382">
        <v>2013</v>
      </c>
      <c r="C382">
        <v>16</v>
      </c>
      <c r="D382" s="7">
        <v>-0.30690000000000001</v>
      </c>
      <c r="E382" s="3">
        <v>-0.56000000000000005</v>
      </c>
      <c r="F382">
        <v>0</v>
      </c>
      <c r="G382">
        <v>-6</v>
      </c>
      <c r="H382" s="6">
        <v>0</v>
      </c>
    </row>
    <row r="383" spans="1:8" x14ac:dyDescent="0.2">
      <c r="A383" s="2" t="s">
        <v>61</v>
      </c>
      <c r="B383">
        <v>2013</v>
      </c>
      <c r="C383">
        <v>16</v>
      </c>
      <c r="D383" s="7">
        <v>-0.95840000000000003</v>
      </c>
      <c r="E383" s="3">
        <v>3.22</v>
      </c>
      <c r="F383">
        <v>0</v>
      </c>
      <c r="G383">
        <v>-7</v>
      </c>
      <c r="H383" s="6">
        <v>0</v>
      </c>
    </row>
    <row r="384" spans="1:8" x14ac:dyDescent="0.2">
      <c r="A384" s="2" t="s">
        <v>60</v>
      </c>
      <c r="B384">
        <v>2013</v>
      </c>
      <c r="C384">
        <v>16</v>
      </c>
      <c r="D384" s="7">
        <v>-1.6594</v>
      </c>
      <c r="E384" s="3">
        <v>-4.0999999999999996</v>
      </c>
      <c r="F384">
        <v>0</v>
      </c>
      <c r="G384">
        <v>-21</v>
      </c>
      <c r="H384" s="6">
        <v>0</v>
      </c>
    </row>
    <row r="385" spans="1:8" x14ac:dyDescent="0.2">
      <c r="A385" s="2" t="s">
        <v>62</v>
      </c>
      <c r="B385">
        <v>2013</v>
      </c>
      <c r="C385">
        <v>16</v>
      </c>
      <c r="D385" s="7">
        <v>-5.3056000000000001</v>
      </c>
      <c r="E385" s="3">
        <v>-4.0599999999999996</v>
      </c>
      <c r="F385">
        <v>0</v>
      </c>
      <c r="G385">
        <v>-31</v>
      </c>
      <c r="H385" s="6">
        <v>0</v>
      </c>
    </row>
    <row r="386" spans="1:8" x14ac:dyDescent="0.2">
      <c r="A386" s="2" t="s">
        <v>66</v>
      </c>
      <c r="B386">
        <v>2012</v>
      </c>
      <c r="C386">
        <v>1</v>
      </c>
      <c r="D386" s="3">
        <v>31.682300000000001</v>
      </c>
      <c r="E386" s="3">
        <v>2.81</v>
      </c>
      <c r="F386">
        <v>6</v>
      </c>
      <c r="G386">
        <v>71</v>
      </c>
      <c r="H386" s="6">
        <f>(71/6)</f>
        <v>11.833333333333334</v>
      </c>
    </row>
    <row r="387" spans="1:8" x14ac:dyDescent="0.2">
      <c r="A387" s="2" t="s">
        <v>10</v>
      </c>
      <c r="B387">
        <v>2012</v>
      </c>
      <c r="C387">
        <v>1</v>
      </c>
      <c r="D387" s="3">
        <v>28.7424</v>
      </c>
      <c r="E387" s="3">
        <v>2.48</v>
      </c>
      <c r="F387">
        <v>2</v>
      </c>
      <c r="G387">
        <v>13</v>
      </c>
      <c r="H387" s="6">
        <f>(26/2)</f>
        <v>13</v>
      </c>
    </row>
    <row r="388" spans="1:8" x14ac:dyDescent="0.2">
      <c r="A388" s="2" t="s">
        <v>29</v>
      </c>
      <c r="B388">
        <v>2012</v>
      </c>
      <c r="C388">
        <v>1</v>
      </c>
      <c r="D388" s="3">
        <v>26.271799999999999</v>
      </c>
      <c r="E388" s="3">
        <v>4.5999999999999996</v>
      </c>
      <c r="F388">
        <v>3</v>
      </c>
      <c r="G388">
        <v>28</v>
      </c>
      <c r="H388" s="6">
        <f>(41/3)</f>
        <v>13.666666666666666</v>
      </c>
    </row>
    <row r="389" spans="1:8" x14ac:dyDescent="0.2">
      <c r="A389" s="2" t="s">
        <v>14</v>
      </c>
      <c r="B389">
        <v>2012</v>
      </c>
      <c r="C389">
        <v>1</v>
      </c>
      <c r="D389" s="3">
        <v>25.511399999999998</v>
      </c>
      <c r="E389" s="3">
        <v>2.39</v>
      </c>
      <c r="F389">
        <v>3</v>
      </c>
      <c r="G389">
        <v>17</v>
      </c>
      <c r="H389" s="6">
        <f>(24/3)</f>
        <v>8</v>
      </c>
    </row>
    <row r="390" spans="1:8" x14ac:dyDescent="0.2">
      <c r="A390" s="2" t="s">
        <v>5</v>
      </c>
      <c r="B390">
        <v>2012</v>
      </c>
      <c r="C390">
        <v>2</v>
      </c>
      <c r="D390" s="3">
        <v>29.8413</v>
      </c>
      <c r="E390" s="3">
        <v>0.97</v>
      </c>
      <c r="F390">
        <v>4</v>
      </c>
      <c r="G390">
        <v>46</v>
      </c>
      <c r="H390" s="6">
        <f>(48/4)</f>
        <v>12</v>
      </c>
    </row>
    <row r="391" spans="1:8" x14ac:dyDescent="0.2">
      <c r="A391" s="2" t="s">
        <v>4</v>
      </c>
      <c r="B391">
        <v>2012</v>
      </c>
      <c r="C391">
        <v>2</v>
      </c>
      <c r="D391" s="3">
        <v>26.865300000000001</v>
      </c>
      <c r="E391" s="3">
        <v>7.72</v>
      </c>
      <c r="F391">
        <v>5</v>
      </c>
      <c r="G391">
        <v>28</v>
      </c>
      <c r="H391" s="6">
        <f>(36/5)</f>
        <v>7.2</v>
      </c>
    </row>
    <row r="392" spans="1:8" x14ac:dyDescent="0.2">
      <c r="A392" s="2" t="s">
        <v>33</v>
      </c>
      <c r="B392">
        <v>2012</v>
      </c>
      <c r="C392">
        <v>2</v>
      </c>
      <c r="D392" s="3">
        <v>26.665700000000001</v>
      </c>
      <c r="E392" s="3">
        <v>-2.72</v>
      </c>
      <c r="F392">
        <v>0</v>
      </c>
      <c r="G392">
        <v>-2</v>
      </c>
      <c r="H392" s="6">
        <v>0</v>
      </c>
    </row>
    <row r="393" spans="1:8" x14ac:dyDescent="0.2">
      <c r="A393" s="2" t="s">
        <v>6</v>
      </c>
      <c r="B393">
        <v>2012</v>
      </c>
      <c r="C393">
        <v>2</v>
      </c>
      <c r="D393" s="3">
        <v>20.8306</v>
      </c>
      <c r="E393" s="3">
        <v>10.130000000000001</v>
      </c>
      <c r="F393">
        <v>0</v>
      </c>
      <c r="G393">
        <v>-5</v>
      </c>
      <c r="H393" s="6">
        <v>0</v>
      </c>
    </row>
    <row r="394" spans="1:8" x14ac:dyDescent="0.2">
      <c r="A394" s="2" t="s">
        <v>68</v>
      </c>
      <c r="B394">
        <v>2012</v>
      </c>
      <c r="C394">
        <v>3</v>
      </c>
      <c r="D394" s="3">
        <v>21.363600000000002</v>
      </c>
      <c r="E394" s="3">
        <v>0</v>
      </c>
      <c r="F394">
        <v>3</v>
      </c>
      <c r="G394">
        <v>18</v>
      </c>
      <c r="H394" s="6">
        <f>(30/3)</f>
        <v>10</v>
      </c>
    </row>
    <row r="395" spans="1:8" x14ac:dyDescent="0.2">
      <c r="A395" s="2" t="s">
        <v>7</v>
      </c>
      <c r="B395">
        <v>2012</v>
      </c>
      <c r="C395">
        <v>3</v>
      </c>
      <c r="D395" s="3">
        <v>20.3261</v>
      </c>
      <c r="E395" s="3">
        <v>3.09</v>
      </c>
      <c r="F395">
        <v>1</v>
      </c>
      <c r="G395">
        <v>12</v>
      </c>
      <c r="H395" s="6">
        <v>15</v>
      </c>
    </row>
    <row r="396" spans="1:8" x14ac:dyDescent="0.2">
      <c r="A396" s="2" t="s">
        <v>12</v>
      </c>
      <c r="B396">
        <v>2012</v>
      </c>
      <c r="C396">
        <v>3</v>
      </c>
      <c r="D396" s="3">
        <v>19.306100000000001</v>
      </c>
      <c r="E396" s="3">
        <v>1.33</v>
      </c>
      <c r="F396">
        <v>2</v>
      </c>
      <c r="G396">
        <v>19</v>
      </c>
      <c r="H396" s="6">
        <f>(29/2)</f>
        <v>14.5</v>
      </c>
    </row>
    <row r="397" spans="1:8" x14ac:dyDescent="0.2">
      <c r="A397" s="2" t="s">
        <v>69</v>
      </c>
      <c r="B397">
        <v>2012</v>
      </c>
      <c r="C397">
        <v>3</v>
      </c>
      <c r="D397" s="3">
        <v>17.946999999999999</v>
      </c>
      <c r="E397" s="3">
        <v>4.37</v>
      </c>
      <c r="F397">
        <v>1</v>
      </c>
      <c r="G397">
        <v>-3</v>
      </c>
      <c r="H397" s="6">
        <v>3</v>
      </c>
    </row>
    <row r="398" spans="1:8" x14ac:dyDescent="0.2">
      <c r="A398" s="2" t="s">
        <v>17</v>
      </c>
      <c r="B398">
        <v>2012</v>
      </c>
      <c r="C398">
        <v>4</v>
      </c>
      <c r="D398" s="3">
        <v>23.213999999999999</v>
      </c>
      <c r="E398" s="3">
        <v>-0.03</v>
      </c>
      <c r="F398">
        <v>2</v>
      </c>
      <c r="G398">
        <v>26</v>
      </c>
      <c r="H398" s="6">
        <f>(27/2)</f>
        <v>13.5</v>
      </c>
    </row>
    <row r="399" spans="1:8" x14ac:dyDescent="0.2">
      <c r="A399" s="2" t="s">
        <v>2</v>
      </c>
      <c r="B399">
        <v>2012</v>
      </c>
      <c r="C399">
        <v>4</v>
      </c>
      <c r="D399" s="3">
        <v>22.507200000000001</v>
      </c>
      <c r="E399" s="3">
        <v>-1.26</v>
      </c>
      <c r="F399">
        <v>2</v>
      </c>
      <c r="G399">
        <v>3</v>
      </c>
      <c r="H399" s="6">
        <f>(15/2)</f>
        <v>7.5</v>
      </c>
    </row>
    <row r="400" spans="1:8" x14ac:dyDescent="0.2">
      <c r="A400" s="2" t="s">
        <v>1</v>
      </c>
      <c r="B400">
        <v>2012</v>
      </c>
      <c r="C400">
        <v>4</v>
      </c>
      <c r="D400" s="3">
        <v>18.799900000000001</v>
      </c>
      <c r="E400" s="3">
        <v>4.42</v>
      </c>
      <c r="F400">
        <v>4</v>
      </c>
      <c r="G400">
        <v>19</v>
      </c>
      <c r="H400" s="6">
        <f>(27/4)</f>
        <v>6.75</v>
      </c>
    </row>
    <row r="401" spans="1:8" x14ac:dyDescent="0.2">
      <c r="A401" s="2" t="s">
        <v>13</v>
      </c>
      <c r="B401">
        <v>2012</v>
      </c>
      <c r="C401">
        <v>4</v>
      </c>
      <c r="D401" s="3">
        <v>18.068300000000001</v>
      </c>
      <c r="E401" s="3">
        <v>1.52</v>
      </c>
      <c r="F401">
        <v>0</v>
      </c>
      <c r="G401">
        <v>-5</v>
      </c>
      <c r="H401" s="6">
        <v>0</v>
      </c>
    </row>
    <row r="402" spans="1:8" x14ac:dyDescent="0.2">
      <c r="A402" s="2" t="s">
        <v>32</v>
      </c>
      <c r="B402">
        <v>2012</v>
      </c>
      <c r="C402">
        <v>5</v>
      </c>
      <c r="D402" s="3">
        <v>23.241</v>
      </c>
      <c r="E402" s="3">
        <v>5.39</v>
      </c>
      <c r="F402">
        <v>0</v>
      </c>
      <c r="G402">
        <v>-3</v>
      </c>
      <c r="H402" s="6">
        <v>0</v>
      </c>
    </row>
    <row r="403" spans="1:8" x14ac:dyDescent="0.2">
      <c r="A403" s="2" t="s">
        <v>70</v>
      </c>
      <c r="B403">
        <v>2012</v>
      </c>
      <c r="C403">
        <v>5</v>
      </c>
      <c r="D403" s="3">
        <v>20.331099999999999</v>
      </c>
      <c r="E403" s="3">
        <v>6.03</v>
      </c>
      <c r="F403">
        <v>1</v>
      </c>
      <c r="G403">
        <v>6</v>
      </c>
      <c r="H403" s="6">
        <v>9</v>
      </c>
    </row>
    <row r="404" spans="1:8" x14ac:dyDescent="0.2">
      <c r="A404" s="2" t="s">
        <v>11</v>
      </c>
      <c r="B404">
        <v>2012</v>
      </c>
      <c r="C404">
        <v>5</v>
      </c>
      <c r="D404" s="3">
        <v>19.924499999999998</v>
      </c>
      <c r="E404" s="3">
        <v>-2.76</v>
      </c>
      <c r="F404">
        <v>1</v>
      </c>
      <c r="G404">
        <v>4</v>
      </c>
      <c r="H404" s="6">
        <v>7</v>
      </c>
    </row>
    <row r="405" spans="1:8" x14ac:dyDescent="0.2">
      <c r="A405" s="2" t="s">
        <v>35</v>
      </c>
      <c r="B405">
        <v>2012</v>
      </c>
      <c r="C405">
        <v>5</v>
      </c>
      <c r="D405" s="3">
        <v>15.5182</v>
      </c>
      <c r="E405" s="3">
        <v>5.6</v>
      </c>
      <c r="F405">
        <v>0</v>
      </c>
      <c r="G405">
        <v>-14</v>
      </c>
      <c r="H405" s="6">
        <v>0</v>
      </c>
    </row>
    <row r="406" spans="1:8" x14ac:dyDescent="0.2">
      <c r="A406" s="2" t="s">
        <v>20</v>
      </c>
      <c r="B406">
        <v>2012</v>
      </c>
      <c r="C406">
        <v>6</v>
      </c>
      <c r="D406" s="3">
        <v>16.058399999999999</v>
      </c>
      <c r="E406" s="3">
        <v>1.2</v>
      </c>
      <c r="F406">
        <v>0</v>
      </c>
      <c r="G406">
        <v>-4</v>
      </c>
      <c r="H406" s="6">
        <v>0</v>
      </c>
    </row>
    <row r="407" spans="1:8" x14ac:dyDescent="0.2">
      <c r="A407" t="s">
        <v>37</v>
      </c>
      <c r="B407">
        <v>2012</v>
      </c>
      <c r="C407">
        <v>6</v>
      </c>
      <c r="D407" s="3">
        <v>15.1083</v>
      </c>
      <c r="E407" s="3">
        <v>-5.49</v>
      </c>
      <c r="F407">
        <v>2</v>
      </c>
      <c r="G407">
        <v>-3</v>
      </c>
      <c r="H407" s="6">
        <f>(12/2)</f>
        <v>6</v>
      </c>
    </row>
    <row r="408" spans="1:8" x14ac:dyDescent="0.2">
      <c r="A408" t="s">
        <v>71</v>
      </c>
      <c r="B408">
        <v>2012</v>
      </c>
      <c r="C408">
        <v>6</v>
      </c>
      <c r="D408" s="3">
        <v>15.106999999999999</v>
      </c>
      <c r="E408" s="3">
        <v>3.78</v>
      </c>
      <c r="F408">
        <v>1</v>
      </c>
      <c r="G408">
        <v>8</v>
      </c>
      <c r="H408" s="6">
        <v>17</v>
      </c>
    </row>
    <row r="409" spans="1:8" x14ac:dyDescent="0.2">
      <c r="A409" t="s">
        <v>143</v>
      </c>
      <c r="B409">
        <v>2012</v>
      </c>
      <c r="C409">
        <v>6</v>
      </c>
      <c r="D409" s="3">
        <v>12.4542</v>
      </c>
      <c r="E409" s="3">
        <v>-1.28</v>
      </c>
      <c r="F409">
        <v>0</v>
      </c>
      <c r="G409">
        <v>-14</v>
      </c>
      <c r="H409" s="6">
        <v>0</v>
      </c>
    </row>
    <row r="410" spans="1:8" x14ac:dyDescent="0.2">
      <c r="A410" t="s">
        <v>9</v>
      </c>
      <c r="B410">
        <v>2012</v>
      </c>
      <c r="C410">
        <v>7</v>
      </c>
      <c r="D410" s="3">
        <v>20.298300000000001</v>
      </c>
      <c r="E410" s="3">
        <v>1.87</v>
      </c>
      <c r="F410">
        <v>3</v>
      </c>
      <c r="G410">
        <v>66</v>
      </c>
      <c r="H410" s="6">
        <f>(70/3)</f>
        <v>23.333333333333332</v>
      </c>
    </row>
    <row r="411" spans="1:8" x14ac:dyDescent="0.2">
      <c r="A411" t="s">
        <v>3</v>
      </c>
      <c r="B411">
        <v>2012</v>
      </c>
      <c r="C411">
        <v>7</v>
      </c>
      <c r="D411" s="3">
        <v>16.998000000000001</v>
      </c>
      <c r="E411" s="3">
        <v>4.3899999999999997</v>
      </c>
      <c r="F411">
        <v>1</v>
      </c>
      <c r="G411">
        <v>16</v>
      </c>
      <c r="H411" s="6">
        <v>23</v>
      </c>
    </row>
    <row r="412" spans="1:8" x14ac:dyDescent="0.2">
      <c r="A412" t="s">
        <v>41</v>
      </c>
      <c r="B412">
        <v>2012</v>
      </c>
      <c r="C412">
        <v>7</v>
      </c>
      <c r="D412" s="3">
        <v>15.499000000000001</v>
      </c>
      <c r="E412" s="3">
        <v>-7.0000000000000007E-2</v>
      </c>
      <c r="F412">
        <v>0</v>
      </c>
      <c r="G412">
        <v>-3</v>
      </c>
      <c r="H412" s="6">
        <v>0</v>
      </c>
    </row>
    <row r="413" spans="1:8" x14ac:dyDescent="0.2">
      <c r="A413" t="s">
        <v>26</v>
      </c>
      <c r="B413">
        <v>2012</v>
      </c>
      <c r="C413">
        <v>7</v>
      </c>
      <c r="D413" s="3">
        <v>14.174099999999999</v>
      </c>
      <c r="E413" s="3">
        <v>-0.71</v>
      </c>
      <c r="F413">
        <v>0</v>
      </c>
      <c r="G413">
        <v>-4</v>
      </c>
      <c r="H413" s="6">
        <v>0</v>
      </c>
    </row>
    <row r="414" spans="1:8" x14ac:dyDescent="0.2">
      <c r="A414" t="s">
        <v>22</v>
      </c>
      <c r="B414">
        <v>2012</v>
      </c>
      <c r="C414">
        <v>8</v>
      </c>
      <c r="D414" s="3">
        <v>22.532</v>
      </c>
      <c r="E414" s="3">
        <v>9.27</v>
      </c>
      <c r="F414">
        <v>0</v>
      </c>
      <c r="G414">
        <v>-7</v>
      </c>
      <c r="H414" s="6">
        <v>0</v>
      </c>
    </row>
    <row r="415" spans="1:8" x14ac:dyDescent="0.2">
      <c r="A415" t="s">
        <v>16</v>
      </c>
      <c r="B415">
        <v>2012</v>
      </c>
      <c r="C415">
        <v>8</v>
      </c>
      <c r="D415" s="3">
        <v>18.2638</v>
      </c>
      <c r="E415" s="3">
        <v>-0.42</v>
      </c>
      <c r="F415">
        <v>1</v>
      </c>
      <c r="G415">
        <v>-10</v>
      </c>
      <c r="H415" s="6">
        <v>6</v>
      </c>
    </row>
    <row r="416" spans="1:8" x14ac:dyDescent="0.2">
      <c r="A416" t="s">
        <v>25</v>
      </c>
      <c r="B416">
        <v>2012</v>
      </c>
      <c r="C416">
        <v>8</v>
      </c>
      <c r="D416" s="3">
        <v>17.063400000000001</v>
      </c>
      <c r="E416" s="3">
        <v>0.59</v>
      </c>
      <c r="F416">
        <v>1</v>
      </c>
      <c r="G416">
        <v>-13</v>
      </c>
      <c r="H416" s="6">
        <v>1</v>
      </c>
    </row>
    <row r="417" spans="1:8" x14ac:dyDescent="0.2">
      <c r="A417" t="s">
        <v>36</v>
      </c>
      <c r="B417">
        <v>2012</v>
      </c>
      <c r="C417">
        <v>8</v>
      </c>
      <c r="D417" s="3">
        <v>16.384899999999998</v>
      </c>
      <c r="E417" s="3">
        <v>-0.83</v>
      </c>
      <c r="F417">
        <v>1</v>
      </c>
      <c r="G417">
        <v>-3</v>
      </c>
      <c r="H417" s="6">
        <v>13</v>
      </c>
    </row>
    <row r="418" spans="1:8" x14ac:dyDescent="0.2">
      <c r="A418" t="s">
        <v>15</v>
      </c>
      <c r="B418">
        <v>2012</v>
      </c>
      <c r="C418">
        <v>9</v>
      </c>
      <c r="D418" s="3">
        <v>20.622499999999999</v>
      </c>
      <c r="E418" s="3">
        <v>-0.56000000000000005</v>
      </c>
      <c r="F418">
        <v>1</v>
      </c>
      <c r="G418">
        <v>3</v>
      </c>
      <c r="H418" s="6">
        <v>7</v>
      </c>
    </row>
    <row r="419" spans="1:8" x14ac:dyDescent="0.2">
      <c r="A419" t="s">
        <v>72</v>
      </c>
      <c r="B419">
        <v>2012</v>
      </c>
      <c r="C419">
        <v>9</v>
      </c>
      <c r="D419" s="3">
        <v>16.638500000000001</v>
      </c>
      <c r="E419" s="3">
        <v>5.94</v>
      </c>
      <c r="F419">
        <v>0</v>
      </c>
      <c r="G419">
        <v>-1</v>
      </c>
      <c r="H419" s="6">
        <v>0</v>
      </c>
    </row>
    <row r="420" spans="1:8" x14ac:dyDescent="0.2">
      <c r="A420" t="s">
        <v>90</v>
      </c>
      <c r="B420">
        <v>2012</v>
      </c>
      <c r="C420">
        <v>9</v>
      </c>
      <c r="D420" s="3">
        <v>14.9795</v>
      </c>
      <c r="E420" s="3">
        <v>3.11</v>
      </c>
      <c r="F420">
        <v>0</v>
      </c>
      <c r="G420">
        <v>-13</v>
      </c>
      <c r="H420" s="6">
        <v>0</v>
      </c>
    </row>
    <row r="421" spans="1:8" x14ac:dyDescent="0.2">
      <c r="A421" t="s">
        <v>73</v>
      </c>
      <c r="B421">
        <v>2012</v>
      </c>
      <c r="C421">
        <v>9</v>
      </c>
      <c r="D421" s="3">
        <v>11.228400000000001</v>
      </c>
      <c r="E421" s="3">
        <v>2.04</v>
      </c>
      <c r="F421">
        <v>0</v>
      </c>
      <c r="G421">
        <v>-6</v>
      </c>
      <c r="H421" s="6">
        <v>0</v>
      </c>
    </row>
    <row r="422" spans="1:8" x14ac:dyDescent="0.2">
      <c r="A422" t="s">
        <v>75</v>
      </c>
      <c r="B422">
        <v>2012</v>
      </c>
      <c r="C422">
        <v>10</v>
      </c>
      <c r="D422" s="3">
        <v>17.369299999999999</v>
      </c>
      <c r="E422" s="3">
        <v>-3.71</v>
      </c>
      <c r="F422">
        <v>0</v>
      </c>
      <c r="G422">
        <v>-26</v>
      </c>
      <c r="H422" s="6">
        <v>0</v>
      </c>
    </row>
    <row r="423" spans="1:8" x14ac:dyDescent="0.2">
      <c r="A423" t="s">
        <v>74</v>
      </c>
      <c r="B423">
        <v>2012</v>
      </c>
      <c r="C423">
        <v>10</v>
      </c>
      <c r="D423" s="3">
        <v>15.9796</v>
      </c>
      <c r="E423" s="3">
        <v>0.46</v>
      </c>
      <c r="F423">
        <v>1</v>
      </c>
      <c r="G423">
        <v>0</v>
      </c>
      <c r="H423" s="6">
        <v>3</v>
      </c>
    </row>
    <row r="424" spans="1:8" x14ac:dyDescent="0.2">
      <c r="A424" t="s">
        <v>77</v>
      </c>
      <c r="B424">
        <v>2012</v>
      </c>
      <c r="C424">
        <v>10</v>
      </c>
      <c r="D424" s="3">
        <v>14.4543</v>
      </c>
      <c r="E424" s="3">
        <v>4.75</v>
      </c>
      <c r="F424">
        <v>0</v>
      </c>
      <c r="G424">
        <v>-23</v>
      </c>
      <c r="H424" s="6">
        <v>0</v>
      </c>
    </row>
    <row r="425" spans="1:8" x14ac:dyDescent="0.2">
      <c r="A425" t="s">
        <v>76</v>
      </c>
      <c r="B425">
        <v>2012</v>
      </c>
      <c r="C425">
        <v>10</v>
      </c>
      <c r="D425" s="3">
        <v>11.652799999999999</v>
      </c>
      <c r="E425" s="3">
        <v>6.4</v>
      </c>
      <c r="F425">
        <v>2</v>
      </c>
      <c r="G425">
        <v>11</v>
      </c>
      <c r="H425" s="6">
        <f>(16/2)</f>
        <v>8</v>
      </c>
    </row>
    <row r="426" spans="1:8" x14ac:dyDescent="0.2">
      <c r="A426" t="s">
        <v>78</v>
      </c>
      <c r="B426">
        <v>2012</v>
      </c>
      <c r="C426">
        <v>11</v>
      </c>
      <c r="D426" s="3">
        <v>16.476299999999998</v>
      </c>
      <c r="E426" s="3">
        <v>2.11</v>
      </c>
      <c r="F426">
        <v>0</v>
      </c>
      <c r="G426">
        <v>-6</v>
      </c>
      <c r="H426" s="6">
        <v>0</v>
      </c>
    </row>
    <row r="427" spans="1:8" x14ac:dyDescent="0.2">
      <c r="A427" t="s">
        <v>31</v>
      </c>
      <c r="B427">
        <v>2012</v>
      </c>
      <c r="C427">
        <v>11</v>
      </c>
      <c r="D427" s="3">
        <v>13.107900000000001</v>
      </c>
      <c r="E427" s="3">
        <v>4.82</v>
      </c>
      <c r="F427">
        <v>2</v>
      </c>
      <c r="G427">
        <v>14</v>
      </c>
      <c r="H427" s="6">
        <f>(17/2)</f>
        <v>8.5</v>
      </c>
    </row>
    <row r="428" spans="1:8" x14ac:dyDescent="0.2">
      <c r="A428" t="s">
        <v>30</v>
      </c>
      <c r="B428">
        <v>2012</v>
      </c>
      <c r="C428">
        <v>11</v>
      </c>
      <c r="D428" s="3">
        <v>9.4723000000000006</v>
      </c>
      <c r="E428" s="3">
        <v>2.2599999999999998</v>
      </c>
      <c r="F428">
        <v>0</v>
      </c>
      <c r="G428">
        <v>-17</v>
      </c>
      <c r="H428" s="6">
        <v>0</v>
      </c>
    </row>
    <row r="429" spans="1:8" x14ac:dyDescent="0.2">
      <c r="A429" t="s">
        <v>39</v>
      </c>
      <c r="B429">
        <v>2012</v>
      </c>
      <c r="C429">
        <v>11</v>
      </c>
      <c r="D429" s="3">
        <v>8.2637999999999998</v>
      </c>
      <c r="E429" s="3">
        <v>1.8</v>
      </c>
      <c r="F429">
        <v>1</v>
      </c>
      <c r="G429">
        <v>-13</v>
      </c>
      <c r="H429" s="6">
        <v>4</v>
      </c>
    </row>
    <row r="430" spans="1:8" x14ac:dyDescent="0.2">
      <c r="A430" t="s">
        <v>79</v>
      </c>
      <c r="B430">
        <v>2012</v>
      </c>
      <c r="C430">
        <v>12</v>
      </c>
      <c r="D430" s="3">
        <v>15.6694</v>
      </c>
      <c r="E430" s="3">
        <v>12.17</v>
      </c>
      <c r="F430">
        <v>0</v>
      </c>
      <c r="G430">
        <v>-7</v>
      </c>
      <c r="H430" s="6">
        <v>0</v>
      </c>
    </row>
    <row r="431" spans="1:8" x14ac:dyDescent="0.2">
      <c r="A431" t="s">
        <v>53</v>
      </c>
      <c r="B431">
        <v>2012</v>
      </c>
      <c r="C431">
        <v>12</v>
      </c>
      <c r="D431" s="3">
        <v>14.7613</v>
      </c>
      <c r="E431" s="3">
        <v>-1.05</v>
      </c>
      <c r="F431">
        <v>0</v>
      </c>
      <c r="G431">
        <v>-9</v>
      </c>
      <c r="H431" s="6">
        <v>0</v>
      </c>
    </row>
    <row r="432" spans="1:8" x14ac:dyDescent="0.2">
      <c r="A432" t="s">
        <v>18</v>
      </c>
      <c r="B432">
        <v>2012</v>
      </c>
      <c r="C432">
        <v>12</v>
      </c>
      <c r="D432" s="3">
        <v>12.667400000000001</v>
      </c>
      <c r="E432" s="3">
        <v>2.2400000000000002</v>
      </c>
      <c r="F432">
        <v>1</v>
      </c>
      <c r="G432">
        <v>1</v>
      </c>
      <c r="H432" s="6">
        <v>3</v>
      </c>
    </row>
    <row r="433" spans="1:8" x14ac:dyDescent="0.2">
      <c r="A433" t="s">
        <v>80</v>
      </c>
      <c r="B433">
        <v>2012</v>
      </c>
      <c r="C433">
        <v>12</v>
      </c>
      <c r="D433" s="3">
        <v>11.472300000000001</v>
      </c>
      <c r="E433" s="3">
        <v>2.58</v>
      </c>
      <c r="F433">
        <v>1</v>
      </c>
      <c r="G433">
        <v>8</v>
      </c>
      <c r="H433" s="6">
        <v>14</v>
      </c>
    </row>
    <row r="434" spans="1:8" x14ac:dyDescent="0.2">
      <c r="A434" t="s">
        <v>49</v>
      </c>
      <c r="B434">
        <v>2012</v>
      </c>
      <c r="C434">
        <v>13</v>
      </c>
      <c r="D434" s="3">
        <v>11.654400000000001</v>
      </c>
      <c r="E434" s="3">
        <v>0.03</v>
      </c>
      <c r="F434">
        <v>0</v>
      </c>
      <c r="G434">
        <v>-13</v>
      </c>
      <c r="H434" s="6">
        <v>0</v>
      </c>
    </row>
    <row r="435" spans="1:8" x14ac:dyDescent="0.2">
      <c r="A435" t="s">
        <v>81</v>
      </c>
      <c r="B435">
        <v>2012</v>
      </c>
      <c r="C435">
        <v>13</v>
      </c>
      <c r="D435" s="3">
        <v>10.7719</v>
      </c>
      <c r="E435" s="3">
        <v>-2.0299999999999998</v>
      </c>
      <c r="F435">
        <v>2</v>
      </c>
      <c r="G435">
        <v>3</v>
      </c>
      <c r="H435" s="6">
        <f>(11/2)</f>
        <v>5.5</v>
      </c>
    </row>
    <row r="436" spans="1:8" x14ac:dyDescent="0.2">
      <c r="A436" t="s">
        <v>51</v>
      </c>
      <c r="B436">
        <v>2012</v>
      </c>
      <c r="C436">
        <v>13</v>
      </c>
      <c r="D436" s="3">
        <v>10.7479</v>
      </c>
      <c r="E436" s="3">
        <v>9.0500000000000007</v>
      </c>
      <c r="F436">
        <v>0</v>
      </c>
      <c r="G436">
        <v>-7</v>
      </c>
      <c r="H436" s="6">
        <v>0</v>
      </c>
    </row>
    <row r="437" spans="1:8" x14ac:dyDescent="0.2">
      <c r="A437" t="s">
        <v>59</v>
      </c>
      <c r="B437">
        <v>2012</v>
      </c>
      <c r="C437">
        <v>13</v>
      </c>
      <c r="D437" s="3">
        <v>7.8697999999999997</v>
      </c>
      <c r="E437" s="3">
        <v>-0.12</v>
      </c>
      <c r="F437">
        <v>0</v>
      </c>
      <c r="G437">
        <v>-24</v>
      </c>
      <c r="H437" s="6">
        <v>0</v>
      </c>
    </row>
    <row r="438" spans="1:8" x14ac:dyDescent="0.2">
      <c r="A438" t="s">
        <v>42</v>
      </c>
      <c r="B438">
        <v>2012</v>
      </c>
      <c r="C438">
        <v>14</v>
      </c>
      <c r="D438" s="3">
        <v>17.618400000000001</v>
      </c>
      <c r="E438" s="3">
        <v>3.43</v>
      </c>
      <c r="F438">
        <v>0</v>
      </c>
      <c r="G438">
        <v>-15</v>
      </c>
      <c r="H438" s="6">
        <v>0</v>
      </c>
    </row>
    <row r="439" spans="1:8" x14ac:dyDescent="0.2">
      <c r="A439" t="s">
        <v>83</v>
      </c>
      <c r="B439">
        <v>2012</v>
      </c>
      <c r="C439">
        <v>14</v>
      </c>
      <c r="D439" s="3">
        <v>12.8828</v>
      </c>
      <c r="E439" s="3">
        <v>1.47</v>
      </c>
      <c r="F439">
        <v>0</v>
      </c>
      <c r="G439">
        <v>-20</v>
      </c>
      <c r="H439" s="6">
        <v>0</v>
      </c>
    </row>
    <row r="440" spans="1:8" x14ac:dyDescent="0.2">
      <c r="A440" t="s">
        <v>50</v>
      </c>
      <c r="B440">
        <v>2012</v>
      </c>
      <c r="C440">
        <v>14</v>
      </c>
      <c r="D440" s="3">
        <v>11.757199999999999</v>
      </c>
      <c r="E440" s="3">
        <v>0.49</v>
      </c>
      <c r="F440">
        <v>0</v>
      </c>
      <c r="G440">
        <v>-8</v>
      </c>
      <c r="H440" s="6">
        <v>0</v>
      </c>
    </row>
    <row r="441" spans="1:8" x14ac:dyDescent="0.2">
      <c r="A441" t="s">
        <v>82</v>
      </c>
      <c r="B441">
        <v>2012</v>
      </c>
      <c r="C441">
        <v>14</v>
      </c>
      <c r="D441" s="3">
        <v>11.6473</v>
      </c>
      <c r="E441" s="3">
        <v>-0.45</v>
      </c>
      <c r="F441">
        <v>0</v>
      </c>
      <c r="G441">
        <v>-3</v>
      </c>
      <c r="H441" s="6">
        <v>0</v>
      </c>
    </row>
    <row r="442" spans="1:8" x14ac:dyDescent="0.2">
      <c r="A442" t="s">
        <v>84</v>
      </c>
      <c r="B442">
        <v>2012</v>
      </c>
      <c r="C442">
        <v>15</v>
      </c>
      <c r="D442" s="3">
        <v>8.9542000000000002</v>
      </c>
      <c r="E442" s="3">
        <v>-7.58</v>
      </c>
      <c r="F442">
        <v>1</v>
      </c>
      <c r="G442">
        <v>-7</v>
      </c>
      <c r="H442" s="6">
        <v>5</v>
      </c>
    </row>
    <row r="443" spans="1:8" x14ac:dyDescent="0.2">
      <c r="A443" t="s">
        <v>85</v>
      </c>
      <c r="B443">
        <v>2012</v>
      </c>
      <c r="C443">
        <v>15</v>
      </c>
      <c r="D443" s="3">
        <v>5.5102000000000002</v>
      </c>
      <c r="E443" s="3">
        <v>1.79</v>
      </c>
      <c r="F443">
        <v>0</v>
      </c>
      <c r="G443">
        <v>-15</v>
      </c>
      <c r="H443" s="6">
        <v>0</v>
      </c>
    </row>
    <row r="444" spans="1:8" x14ac:dyDescent="0.2">
      <c r="A444" t="s">
        <v>86</v>
      </c>
      <c r="B444">
        <v>2012</v>
      </c>
      <c r="C444">
        <v>15</v>
      </c>
      <c r="D444" s="3">
        <v>3.6785000000000001</v>
      </c>
      <c r="E444" s="3">
        <v>3.9</v>
      </c>
      <c r="F444">
        <v>0</v>
      </c>
      <c r="G444">
        <v>-19</v>
      </c>
      <c r="H444" s="6">
        <v>0</v>
      </c>
    </row>
    <row r="445" spans="1:8" x14ac:dyDescent="0.2">
      <c r="A445" t="s">
        <v>87</v>
      </c>
      <c r="B445">
        <v>2012</v>
      </c>
      <c r="C445">
        <v>15</v>
      </c>
      <c r="D445" s="3">
        <v>-2.4321999999999999</v>
      </c>
      <c r="E445" s="3">
        <v>0.34</v>
      </c>
      <c r="F445">
        <v>1</v>
      </c>
      <c r="G445">
        <v>-32</v>
      </c>
      <c r="H445" s="6">
        <v>2</v>
      </c>
    </row>
    <row r="446" spans="1:8" x14ac:dyDescent="0.2">
      <c r="A446" t="s">
        <v>89</v>
      </c>
      <c r="B446">
        <v>2012</v>
      </c>
      <c r="C446">
        <v>16</v>
      </c>
      <c r="D446" s="3">
        <v>4.9413</v>
      </c>
      <c r="E446" s="3">
        <v>6.43</v>
      </c>
      <c r="F446">
        <v>0</v>
      </c>
      <c r="G446">
        <v>-7</v>
      </c>
      <c r="H446" s="6">
        <v>0</v>
      </c>
    </row>
    <row r="447" spans="1:8" x14ac:dyDescent="0.2">
      <c r="A447" t="s">
        <v>88</v>
      </c>
      <c r="B447">
        <v>2012</v>
      </c>
      <c r="C447">
        <v>16</v>
      </c>
      <c r="D447" s="3">
        <v>4.2485999999999997</v>
      </c>
      <c r="E447" s="3">
        <v>-1.35</v>
      </c>
      <c r="F447">
        <v>0</v>
      </c>
      <c r="G447">
        <v>-19</v>
      </c>
      <c r="H447" s="6">
        <v>0</v>
      </c>
    </row>
    <row r="448" spans="1:8" x14ac:dyDescent="0.2">
      <c r="A448" t="s">
        <v>1189</v>
      </c>
      <c r="B448">
        <v>2012</v>
      </c>
      <c r="C448">
        <v>16</v>
      </c>
      <c r="D448" s="3">
        <v>0.57030000000000003</v>
      </c>
      <c r="E448" s="3">
        <v>-4.3899999999999997</v>
      </c>
      <c r="F448">
        <v>0</v>
      </c>
      <c r="G448">
        <v>-22</v>
      </c>
      <c r="H448" s="6">
        <v>0</v>
      </c>
    </row>
    <row r="449" spans="1:8" x14ac:dyDescent="0.2">
      <c r="A449" t="s">
        <v>61</v>
      </c>
      <c r="B449">
        <v>2012</v>
      </c>
      <c r="C449">
        <v>16</v>
      </c>
      <c r="D449" s="3">
        <v>-2.8431000000000002</v>
      </c>
      <c r="E449" s="3">
        <v>4.3899999999999997</v>
      </c>
      <c r="F449">
        <v>0</v>
      </c>
      <c r="G449">
        <v>-15</v>
      </c>
      <c r="H449" s="6">
        <v>0</v>
      </c>
    </row>
    <row r="450" spans="1:8" x14ac:dyDescent="0.2">
      <c r="A450" t="s">
        <v>5</v>
      </c>
      <c r="B450">
        <v>2011</v>
      </c>
      <c r="C450">
        <v>1</v>
      </c>
      <c r="D450" s="3">
        <v>31.582100000000001</v>
      </c>
      <c r="E450" s="3">
        <v>0.8</v>
      </c>
      <c r="F450">
        <v>2</v>
      </c>
      <c r="G450">
        <v>49</v>
      </c>
      <c r="H450" s="6">
        <f>(51/2)</f>
        <v>25.5</v>
      </c>
    </row>
    <row r="451" spans="1:8" x14ac:dyDescent="0.2">
      <c r="A451" t="s">
        <v>6</v>
      </c>
      <c r="B451">
        <v>2011</v>
      </c>
      <c r="C451">
        <v>1</v>
      </c>
      <c r="D451" s="3">
        <v>28.295500000000001</v>
      </c>
      <c r="E451" s="3">
        <v>5.79</v>
      </c>
      <c r="F451">
        <v>2</v>
      </c>
      <c r="G451">
        <v>28</v>
      </c>
      <c r="H451" s="6">
        <f>(44/2)</f>
        <v>22</v>
      </c>
    </row>
    <row r="452" spans="1:8" x14ac:dyDescent="0.2">
      <c r="A452" t="s">
        <v>4</v>
      </c>
      <c r="B452">
        <v>2011</v>
      </c>
      <c r="C452">
        <v>1</v>
      </c>
      <c r="D452" s="3">
        <v>28.266300000000001</v>
      </c>
      <c r="E452" s="3">
        <v>2.5099999999999998</v>
      </c>
      <c r="F452">
        <v>3</v>
      </c>
      <c r="G452">
        <v>43</v>
      </c>
      <c r="H452" s="6">
        <f>(53/3)</f>
        <v>17.666666666666668</v>
      </c>
    </row>
    <row r="453" spans="1:8" x14ac:dyDescent="0.2">
      <c r="A453" t="s">
        <v>28</v>
      </c>
      <c r="B453">
        <v>2011</v>
      </c>
      <c r="C453">
        <v>1</v>
      </c>
      <c r="D453" s="3">
        <v>26.756799999999998</v>
      </c>
      <c r="E453" s="3">
        <v>1.42</v>
      </c>
      <c r="F453">
        <v>1</v>
      </c>
      <c r="G453">
        <v>22</v>
      </c>
      <c r="H453" s="6">
        <v>23</v>
      </c>
    </row>
    <row r="454" spans="1:8" x14ac:dyDescent="0.2">
      <c r="A454" t="s">
        <v>143</v>
      </c>
      <c r="B454">
        <v>2011</v>
      </c>
      <c r="C454">
        <v>2</v>
      </c>
      <c r="D454" s="3">
        <v>25.1372</v>
      </c>
      <c r="E454" s="3">
        <v>4.37</v>
      </c>
      <c r="F454">
        <v>2</v>
      </c>
      <c r="G454">
        <v>18</v>
      </c>
      <c r="H454" s="6">
        <f>(25/2)</f>
        <v>12.5</v>
      </c>
    </row>
    <row r="455" spans="1:8" x14ac:dyDescent="0.2">
      <c r="A455" t="s">
        <v>26</v>
      </c>
      <c r="B455">
        <v>2011</v>
      </c>
      <c r="C455">
        <v>2</v>
      </c>
      <c r="D455" s="3">
        <v>24.036899999999999</v>
      </c>
      <c r="E455" s="3">
        <v>0.38</v>
      </c>
      <c r="F455">
        <v>1</v>
      </c>
      <c r="G455">
        <v>-1</v>
      </c>
      <c r="H455" s="6">
        <v>13</v>
      </c>
    </row>
    <row r="456" spans="1:8" x14ac:dyDescent="0.2">
      <c r="A456" t="s">
        <v>29</v>
      </c>
      <c r="B456">
        <v>2011</v>
      </c>
      <c r="C456">
        <v>2</v>
      </c>
      <c r="D456" s="3">
        <v>21.572700000000001</v>
      </c>
      <c r="E456" s="3">
        <v>7.52</v>
      </c>
      <c r="F456">
        <v>3</v>
      </c>
      <c r="G456">
        <v>29</v>
      </c>
      <c r="H456" s="6">
        <f>(36/3)</f>
        <v>12</v>
      </c>
    </row>
    <row r="457" spans="1:8" x14ac:dyDescent="0.2">
      <c r="A457" t="s">
        <v>9</v>
      </c>
      <c r="B457">
        <v>2011</v>
      </c>
      <c r="C457">
        <v>2</v>
      </c>
      <c r="D457" s="3">
        <v>19.7287</v>
      </c>
      <c r="E457" s="3">
        <v>3.95</v>
      </c>
      <c r="F457">
        <v>3</v>
      </c>
      <c r="G457">
        <v>42</v>
      </c>
      <c r="H457" s="6">
        <f>(45/3)</f>
        <v>15</v>
      </c>
    </row>
    <row r="458" spans="1:8" x14ac:dyDescent="0.2">
      <c r="A458" t="s">
        <v>74</v>
      </c>
      <c r="B458">
        <v>2011</v>
      </c>
      <c r="C458">
        <v>3</v>
      </c>
      <c r="D458" s="3">
        <v>25.016500000000001</v>
      </c>
      <c r="E458" s="3">
        <v>2.88</v>
      </c>
      <c r="F458">
        <v>1</v>
      </c>
      <c r="G458">
        <v>4</v>
      </c>
      <c r="H458" s="6">
        <v>22</v>
      </c>
    </row>
    <row r="459" spans="1:8" x14ac:dyDescent="0.2">
      <c r="A459" t="s">
        <v>83</v>
      </c>
      <c r="B459">
        <v>2011</v>
      </c>
      <c r="C459">
        <v>3</v>
      </c>
      <c r="D459" s="3">
        <v>23.099499999999999</v>
      </c>
      <c r="E459" s="3">
        <v>3.82</v>
      </c>
      <c r="F459">
        <v>2</v>
      </c>
      <c r="G459">
        <v>21</v>
      </c>
      <c r="H459" s="6">
        <f>(30/2)</f>
        <v>15</v>
      </c>
    </row>
    <row r="460" spans="1:8" x14ac:dyDescent="0.2">
      <c r="A460" t="s">
        <v>14</v>
      </c>
      <c r="B460">
        <v>2011</v>
      </c>
      <c r="C460">
        <v>3</v>
      </c>
      <c r="D460" s="3">
        <v>22.003799999999998</v>
      </c>
      <c r="E460" s="3">
        <v>2.5099999999999998</v>
      </c>
      <c r="F460">
        <v>1</v>
      </c>
      <c r="G460">
        <v>13</v>
      </c>
      <c r="H460" s="6">
        <v>17</v>
      </c>
    </row>
    <row r="461" spans="1:8" x14ac:dyDescent="0.2">
      <c r="A461" t="s">
        <v>90</v>
      </c>
      <c r="B461">
        <v>2011</v>
      </c>
      <c r="C461">
        <v>3</v>
      </c>
      <c r="D461" s="3">
        <v>21.148599999999998</v>
      </c>
      <c r="E461" s="3">
        <v>3.28</v>
      </c>
      <c r="F461">
        <v>6</v>
      </c>
      <c r="G461">
        <v>62</v>
      </c>
      <c r="H461" s="6">
        <f>(62/6)</f>
        <v>10.333333333333334</v>
      </c>
    </row>
    <row r="462" spans="1:8" x14ac:dyDescent="0.2">
      <c r="A462" t="s">
        <v>78</v>
      </c>
      <c r="B462">
        <v>2011</v>
      </c>
      <c r="C462">
        <v>4</v>
      </c>
      <c r="D462" s="3">
        <v>26.178599999999999</v>
      </c>
      <c r="E462" s="3">
        <v>3.71</v>
      </c>
      <c r="F462">
        <v>1</v>
      </c>
      <c r="G462">
        <v>3</v>
      </c>
      <c r="H462" s="6">
        <v>4</v>
      </c>
    </row>
    <row r="463" spans="1:8" x14ac:dyDescent="0.2">
      <c r="A463" t="s">
        <v>17</v>
      </c>
      <c r="B463">
        <v>2011</v>
      </c>
      <c r="C463">
        <v>4</v>
      </c>
      <c r="D463" s="3">
        <v>25.080400000000001</v>
      </c>
      <c r="E463" s="3">
        <v>-7.0000000000000007E-2</v>
      </c>
      <c r="F463">
        <v>2</v>
      </c>
      <c r="G463">
        <v>12</v>
      </c>
      <c r="H463" s="6">
        <f>(19/2)</f>
        <v>9.5</v>
      </c>
    </row>
    <row r="464" spans="1:8" x14ac:dyDescent="0.2">
      <c r="A464" t="s">
        <v>66</v>
      </c>
      <c r="B464">
        <v>2011</v>
      </c>
      <c r="C464">
        <v>4</v>
      </c>
      <c r="D464" s="3">
        <v>23.971499999999999</v>
      </c>
      <c r="E464" s="3">
        <v>6.59</v>
      </c>
      <c r="F464">
        <v>4</v>
      </c>
      <c r="G464">
        <v>18</v>
      </c>
      <c r="H464" s="6">
        <f>(19/4)</f>
        <v>4.75</v>
      </c>
    </row>
    <row r="465" spans="1:8" x14ac:dyDescent="0.2">
      <c r="A465" t="s">
        <v>1</v>
      </c>
      <c r="B465">
        <v>2011</v>
      </c>
      <c r="C465">
        <v>4</v>
      </c>
      <c r="D465" s="3">
        <v>22.441600000000001</v>
      </c>
      <c r="E465" s="3">
        <v>-0.6</v>
      </c>
      <c r="F465">
        <v>0</v>
      </c>
      <c r="G465">
        <v>-1</v>
      </c>
      <c r="H465" s="6">
        <v>0</v>
      </c>
    </row>
    <row r="466" spans="1:8" x14ac:dyDescent="0.2">
      <c r="A466" t="s">
        <v>77</v>
      </c>
      <c r="B466">
        <v>2011</v>
      </c>
      <c r="C466">
        <v>5</v>
      </c>
      <c r="D466" s="3">
        <v>19.713000000000001</v>
      </c>
      <c r="E466" s="3">
        <v>8.51</v>
      </c>
      <c r="F466">
        <v>1</v>
      </c>
      <c r="G466">
        <v>0</v>
      </c>
      <c r="H466" s="6">
        <v>8</v>
      </c>
    </row>
    <row r="467" spans="1:8" x14ac:dyDescent="0.2">
      <c r="A467" t="s">
        <v>21</v>
      </c>
      <c r="B467">
        <v>2011</v>
      </c>
      <c r="C467">
        <v>5</v>
      </c>
      <c r="D467" s="3">
        <v>18.459499999999998</v>
      </c>
      <c r="E467" s="3">
        <v>2.27</v>
      </c>
      <c r="F467">
        <v>3</v>
      </c>
      <c r="G467">
        <v>17</v>
      </c>
      <c r="H467" s="6">
        <f>(19/3)</f>
        <v>6.333333333333333</v>
      </c>
    </row>
    <row r="468" spans="1:8" x14ac:dyDescent="0.2">
      <c r="A468" t="s">
        <v>16</v>
      </c>
      <c r="B468">
        <v>2011</v>
      </c>
      <c r="C468">
        <v>5</v>
      </c>
      <c r="D468" s="3">
        <v>17.0915</v>
      </c>
      <c r="E468" s="3">
        <v>3.34</v>
      </c>
      <c r="F468">
        <v>1</v>
      </c>
      <c r="G468">
        <v>0</v>
      </c>
      <c r="H468" s="6">
        <v>5</v>
      </c>
    </row>
    <row r="469" spans="1:8" x14ac:dyDescent="0.2">
      <c r="A469" t="s">
        <v>70</v>
      </c>
      <c r="B469">
        <v>2011</v>
      </c>
      <c r="C469">
        <v>5</v>
      </c>
      <c r="D469" s="3">
        <v>17.052199999999999</v>
      </c>
      <c r="E469" s="3">
        <v>5.12</v>
      </c>
      <c r="F469">
        <v>0</v>
      </c>
      <c r="G469">
        <v>-3</v>
      </c>
      <c r="H469" s="6">
        <v>0</v>
      </c>
    </row>
    <row r="470" spans="1:8" x14ac:dyDescent="0.2">
      <c r="A470" t="s">
        <v>37</v>
      </c>
      <c r="B470">
        <v>2011</v>
      </c>
      <c r="C470">
        <v>6</v>
      </c>
      <c r="D470" s="3">
        <v>19.220600000000001</v>
      </c>
      <c r="E470" s="3">
        <v>-5.93</v>
      </c>
      <c r="F470">
        <v>1</v>
      </c>
      <c r="G470">
        <v>4</v>
      </c>
      <c r="H470" s="6">
        <v>15</v>
      </c>
    </row>
    <row r="471" spans="1:8" x14ac:dyDescent="0.2">
      <c r="A471" t="s">
        <v>7</v>
      </c>
      <c r="B471">
        <v>2011</v>
      </c>
      <c r="C471">
        <v>6</v>
      </c>
      <c r="D471" s="3">
        <v>18.588100000000001</v>
      </c>
      <c r="E471" s="3">
        <v>6.29</v>
      </c>
      <c r="F471">
        <v>0</v>
      </c>
      <c r="G471">
        <v>-18</v>
      </c>
      <c r="H471" s="6">
        <v>0</v>
      </c>
    </row>
    <row r="472" spans="1:8" x14ac:dyDescent="0.2">
      <c r="A472" t="s">
        <v>220</v>
      </c>
      <c r="B472">
        <v>2011</v>
      </c>
      <c r="C472">
        <v>6</v>
      </c>
      <c r="D472" s="3">
        <v>16.4404</v>
      </c>
      <c r="E472" s="3">
        <v>3.14</v>
      </c>
      <c r="F472">
        <v>0</v>
      </c>
      <c r="G472">
        <v>-15</v>
      </c>
      <c r="H472" s="6">
        <v>0</v>
      </c>
    </row>
    <row r="473" spans="1:8" x14ac:dyDescent="0.2">
      <c r="A473" t="s">
        <v>76</v>
      </c>
      <c r="B473">
        <v>2011</v>
      </c>
      <c r="C473">
        <v>6</v>
      </c>
      <c r="D473" s="3">
        <v>16.2256</v>
      </c>
      <c r="E473" s="3">
        <v>7.05</v>
      </c>
      <c r="F473">
        <v>0</v>
      </c>
      <c r="G473">
        <v>-11</v>
      </c>
      <c r="H473" s="6">
        <v>0</v>
      </c>
    </row>
    <row r="474" spans="1:8" x14ac:dyDescent="0.2">
      <c r="A474" t="s">
        <v>221</v>
      </c>
      <c r="B474">
        <v>2011</v>
      </c>
      <c r="C474">
        <v>7</v>
      </c>
      <c r="D474" s="3">
        <v>21.755199999999999</v>
      </c>
      <c r="E474" s="3">
        <v>3.63</v>
      </c>
      <c r="F474">
        <v>1</v>
      </c>
      <c r="G474">
        <v>0</v>
      </c>
      <c r="H474" s="6">
        <v>3</v>
      </c>
    </row>
    <row r="475" spans="1:8" x14ac:dyDescent="0.2">
      <c r="A475" t="s">
        <v>35</v>
      </c>
      <c r="B475">
        <v>2011</v>
      </c>
      <c r="C475">
        <v>7</v>
      </c>
      <c r="D475" s="3">
        <v>16.577200000000001</v>
      </c>
      <c r="E475" s="3">
        <v>6.32</v>
      </c>
      <c r="F475">
        <v>1</v>
      </c>
      <c r="G475">
        <v>-5</v>
      </c>
      <c r="H475" s="6">
        <v>2</v>
      </c>
    </row>
    <row r="476" spans="1:8" x14ac:dyDescent="0.2">
      <c r="A476" t="s">
        <v>222</v>
      </c>
      <c r="B476">
        <v>2011</v>
      </c>
      <c r="C476">
        <v>7</v>
      </c>
      <c r="D476" s="3">
        <v>15.012499999999999</v>
      </c>
      <c r="E476" s="3">
        <v>-4.0599999999999996</v>
      </c>
      <c r="F476">
        <v>0</v>
      </c>
      <c r="G476">
        <v>-7</v>
      </c>
      <c r="H476" s="6">
        <v>0</v>
      </c>
    </row>
    <row r="477" spans="1:8" x14ac:dyDescent="0.2">
      <c r="A477" t="s">
        <v>24</v>
      </c>
      <c r="B477">
        <v>2011</v>
      </c>
      <c r="C477">
        <v>7</v>
      </c>
      <c r="D477" s="3">
        <v>13.4955</v>
      </c>
      <c r="E477" s="3">
        <v>4.6100000000000003</v>
      </c>
      <c r="F477">
        <v>1</v>
      </c>
      <c r="G477">
        <v>-6</v>
      </c>
      <c r="H477" s="6">
        <v>2</v>
      </c>
    </row>
    <row r="478" spans="1:8" x14ac:dyDescent="0.2">
      <c r="A478" t="s">
        <v>20</v>
      </c>
      <c r="B478">
        <v>2011</v>
      </c>
      <c r="C478">
        <v>8</v>
      </c>
      <c r="D478" s="3">
        <v>18.412400000000002</v>
      </c>
      <c r="E478" s="3">
        <v>3.12</v>
      </c>
      <c r="F478">
        <v>0</v>
      </c>
      <c r="G478">
        <v>-11</v>
      </c>
      <c r="H478" s="6">
        <v>0</v>
      </c>
    </row>
    <row r="479" spans="1:8" x14ac:dyDescent="0.2">
      <c r="A479" t="s">
        <v>223</v>
      </c>
      <c r="B479">
        <v>2011</v>
      </c>
      <c r="C479">
        <v>8</v>
      </c>
      <c r="D479" s="3">
        <v>18.013300000000001</v>
      </c>
      <c r="E479" s="3">
        <v>1.06</v>
      </c>
      <c r="F479">
        <v>1</v>
      </c>
      <c r="G479">
        <v>-28</v>
      </c>
      <c r="H479" s="6">
        <v>4</v>
      </c>
    </row>
    <row r="480" spans="1:8" x14ac:dyDescent="0.2">
      <c r="A480" t="s">
        <v>13</v>
      </c>
      <c r="B480">
        <v>2011</v>
      </c>
      <c r="C480">
        <v>8</v>
      </c>
      <c r="D480" s="3">
        <v>15.085800000000001</v>
      </c>
      <c r="E480" s="3">
        <v>2.97</v>
      </c>
      <c r="F480">
        <v>1</v>
      </c>
      <c r="G480">
        <v>28</v>
      </c>
      <c r="H480" s="6">
        <v>30</v>
      </c>
    </row>
    <row r="481" spans="1:8" x14ac:dyDescent="0.2">
      <c r="A481" t="s">
        <v>23</v>
      </c>
      <c r="B481">
        <v>2011</v>
      </c>
      <c r="C481">
        <v>8</v>
      </c>
      <c r="D481" s="3">
        <v>14.5471</v>
      </c>
      <c r="E481" s="3">
        <v>6.97</v>
      </c>
      <c r="F481">
        <v>5</v>
      </c>
      <c r="G481">
        <v>9</v>
      </c>
      <c r="H481" s="6">
        <f>(21/5)</f>
        <v>4.2</v>
      </c>
    </row>
    <row r="482" spans="1:8" x14ac:dyDescent="0.2">
      <c r="A482" t="s">
        <v>27</v>
      </c>
      <c r="B482">
        <v>2011</v>
      </c>
      <c r="C482">
        <v>9</v>
      </c>
      <c r="D482" s="3">
        <v>19.140499999999999</v>
      </c>
      <c r="E482" s="3">
        <v>5.27</v>
      </c>
      <c r="F482">
        <v>1</v>
      </c>
      <c r="G482">
        <v>-3</v>
      </c>
      <c r="H482" s="6">
        <v>11</v>
      </c>
    </row>
    <row r="483" spans="1:8" x14ac:dyDescent="0.2">
      <c r="A483" t="s">
        <v>34</v>
      </c>
      <c r="B483">
        <v>2011</v>
      </c>
      <c r="C483">
        <v>9</v>
      </c>
      <c r="D483" s="3">
        <v>17.781700000000001</v>
      </c>
      <c r="E483" s="3">
        <v>1.19</v>
      </c>
      <c r="F483">
        <v>0</v>
      </c>
      <c r="G483">
        <v>-4</v>
      </c>
      <c r="H483" s="6">
        <v>0</v>
      </c>
    </row>
    <row r="484" spans="1:8" x14ac:dyDescent="0.2">
      <c r="A484" t="s">
        <v>224</v>
      </c>
      <c r="B484">
        <v>2011</v>
      </c>
      <c r="C484">
        <v>9</v>
      </c>
      <c r="D484" s="3">
        <v>14.045999999999999</v>
      </c>
      <c r="E484" s="3">
        <v>5.07</v>
      </c>
      <c r="F484">
        <v>0</v>
      </c>
      <c r="G484">
        <v>-2</v>
      </c>
      <c r="H484" s="6">
        <v>0</v>
      </c>
    </row>
    <row r="485" spans="1:8" x14ac:dyDescent="0.2">
      <c r="A485" t="s">
        <v>225</v>
      </c>
      <c r="B485">
        <v>2011</v>
      </c>
      <c r="C485">
        <v>9</v>
      </c>
      <c r="D485" s="3">
        <v>13.039400000000001</v>
      </c>
      <c r="E485" s="3">
        <v>9.26</v>
      </c>
      <c r="F485">
        <v>0</v>
      </c>
      <c r="G485">
        <v>-30</v>
      </c>
      <c r="H485" s="6">
        <v>0</v>
      </c>
    </row>
    <row r="486" spans="1:8" x14ac:dyDescent="0.2">
      <c r="A486" t="s">
        <v>69</v>
      </c>
      <c r="B486">
        <v>2011</v>
      </c>
      <c r="C486">
        <v>10</v>
      </c>
      <c r="D486" s="3">
        <v>14.654299999999999</v>
      </c>
      <c r="E486" s="3">
        <v>-1.82</v>
      </c>
      <c r="F486">
        <v>2</v>
      </c>
      <c r="G486">
        <v>20</v>
      </c>
      <c r="H486" s="6">
        <f>(21/2)</f>
        <v>10.5</v>
      </c>
    </row>
    <row r="487" spans="1:8" x14ac:dyDescent="0.2">
      <c r="A487" t="s">
        <v>10</v>
      </c>
      <c r="B487">
        <v>2011</v>
      </c>
      <c r="C487">
        <v>10</v>
      </c>
      <c r="D487" s="3">
        <v>14.476100000000001</v>
      </c>
      <c r="E487" s="3">
        <v>8.73</v>
      </c>
      <c r="F487">
        <v>0</v>
      </c>
      <c r="G487">
        <v>-2</v>
      </c>
      <c r="H487" s="6">
        <v>0</v>
      </c>
    </row>
    <row r="488" spans="1:8" x14ac:dyDescent="0.2">
      <c r="A488" t="s">
        <v>226</v>
      </c>
      <c r="B488">
        <v>2011</v>
      </c>
      <c r="C488">
        <v>10</v>
      </c>
      <c r="D488" s="3">
        <v>14.099</v>
      </c>
      <c r="E488" s="3">
        <v>3.6</v>
      </c>
      <c r="F488">
        <v>0</v>
      </c>
      <c r="G488">
        <v>-2</v>
      </c>
      <c r="H488" s="6">
        <v>0</v>
      </c>
    </row>
    <row r="489" spans="1:8" x14ac:dyDescent="0.2">
      <c r="A489" t="s">
        <v>227</v>
      </c>
      <c r="B489">
        <v>2011</v>
      </c>
      <c r="C489">
        <v>10</v>
      </c>
      <c r="D489" s="3">
        <v>11.591100000000001</v>
      </c>
      <c r="E489" s="3">
        <v>1.19</v>
      </c>
      <c r="F489">
        <v>0</v>
      </c>
      <c r="G489">
        <v>-3</v>
      </c>
      <c r="H489" s="6">
        <v>0</v>
      </c>
    </row>
    <row r="490" spans="1:8" x14ac:dyDescent="0.2">
      <c r="A490" t="s">
        <v>12</v>
      </c>
      <c r="B490">
        <v>2011</v>
      </c>
      <c r="C490">
        <v>11</v>
      </c>
      <c r="D490" s="3">
        <v>17.658100000000001</v>
      </c>
      <c r="E490" s="3">
        <v>-2.5299999999999998</v>
      </c>
      <c r="F490">
        <v>2</v>
      </c>
      <c r="G490">
        <v>-3</v>
      </c>
      <c r="H490" s="6">
        <f>(15/2)</f>
        <v>7.5</v>
      </c>
    </row>
    <row r="491" spans="1:8" x14ac:dyDescent="0.2">
      <c r="A491" t="s">
        <v>33</v>
      </c>
      <c r="B491">
        <v>2011</v>
      </c>
      <c r="C491">
        <v>11</v>
      </c>
      <c r="D491" s="3">
        <v>16.209</v>
      </c>
      <c r="E491" s="3">
        <v>-1.65</v>
      </c>
      <c r="F491">
        <v>0</v>
      </c>
      <c r="G491">
        <v>-15</v>
      </c>
      <c r="H491" s="6">
        <v>0</v>
      </c>
    </row>
    <row r="492" spans="1:8" x14ac:dyDescent="0.2">
      <c r="A492" t="s">
        <v>3</v>
      </c>
      <c r="B492">
        <v>2011</v>
      </c>
      <c r="C492">
        <v>11</v>
      </c>
      <c r="D492" s="3">
        <v>16.153199999999998</v>
      </c>
      <c r="E492" s="3">
        <v>6.26</v>
      </c>
      <c r="F492">
        <v>1</v>
      </c>
      <c r="G492">
        <v>-7</v>
      </c>
      <c r="H492" s="6">
        <v>15</v>
      </c>
    </row>
    <row r="493" spans="1:8" x14ac:dyDescent="0.2">
      <c r="A493" t="s">
        <v>18</v>
      </c>
      <c r="B493">
        <v>2011</v>
      </c>
      <c r="C493">
        <v>11</v>
      </c>
      <c r="D493" s="3">
        <v>8.6256000000000004</v>
      </c>
      <c r="E493" s="3">
        <v>2.25</v>
      </c>
      <c r="F493">
        <v>4</v>
      </c>
      <c r="G493">
        <v>43</v>
      </c>
      <c r="H493" s="6">
        <f>(51/4)</f>
        <v>12.75</v>
      </c>
    </row>
    <row r="494" spans="1:8" x14ac:dyDescent="0.2">
      <c r="A494" t="s">
        <v>228</v>
      </c>
      <c r="B494">
        <v>2011</v>
      </c>
      <c r="C494">
        <v>12</v>
      </c>
      <c r="D494" s="3">
        <v>19.859000000000002</v>
      </c>
      <c r="E494" s="3">
        <v>-0.91</v>
      </c>
      <c r="F494">
        <v>0</v>
      </c>
      <c r="G494">
        <v>-5</v>
      </c>
      <c r="H494" s="6">
        <v>0</v>
      </c>
    </row>
    <row r="495" spans="1:8" x14ac:dyDescent="0.2">
      <c r="A495" t="s">
        <v>229</v>
      </c>
      <c r="B495">
        <v>2011</v>
      </c>
      <c r="C495">
        <v>12</v>
      </c>
      <c r="D495" s="3">
        <v>17.222799999999999</v>
      </c>
      <c r="E495" s="3">
        <v>0.16</v>
      </c>
      <c r="F495">
        <v>0</v>
      </c>
      <c r="G495">
        <v>-8</v>
      </c>
      <c r="H495" s="6">
        <v>0</v>
      </c>
    </row>
    <row r="496" spans="1:8" x14ac:dyDescent="0.2">
      <c r="A496" t="s">
        <v>230</v>
      </c>
      <c r="B496">
        <v>2011</v>
      </c>
      <c r="C496">
        <v>12</v>
      </c>
      <c r="D496" s="3">
        <v>14.8879</v>
      </c>
      <c r="E496" s="3">
        <v>1.63</v>
      </c>
      <c r="F496">
        <v>2</v>
      </c>
      <c r="G496">
        <v>0</v>
      </c>
      <c r="H496" s="6">
        <f>(20/2)</f>
        <v>10</v>
      </c>
    </row>
    <row r="497" spans="1:8" x14ac:dyDescent="0.2">
      <c r="A497" t="s">
        <v>22</v>
      </c>
      <c r="B497">
        <v>2011</v>
      </c>
      <c r="C497">
        <v>12</v>
      </c>
      <c r="D497" s="3">
        <v>6.7751999999999999</v>
      </c>
      <c r="E497" s="3">
        <v>-0.61</v>
      </c>
      <c r="F497">
        <v>0</v>
      </c>
      <c r="G497">
        <v>-2</v>
      </c>
      <c r="H497" s="6">
        <v>0</v>
      </c>
    </row>
    <row r="498" spans="1:8" x14ac:dyDescent="0.2">
      <c r="A498" t="s">
        <v>42</v>
      </c>
      <c r="B498">
        <v>2011</v>
      </c>
      <c r="C498">
        <v>13</v>
      </c>
      <c r="D498" s="3">
        <v>18.598500000000001</v>
      </c>
      <c r="E498" s="3">
        <v>-2.56</v>
      </c>
      <c r="F498">
        <v>0</v>
      </c>
      <c r="G498">
        <v>-14</v>
      </c>
      <c r="H498" s="6">
        <v>0</v>
      </c>
    </row>
    <row r="499" spans="1:8" x14ac:dyDescent="0.2">
      <c r="A499" t="s">
        <v>231</v>
      </c>
      <c r="B499">
        <v>2011</v>
      </c>
      <c r="C499">
        <v>13</v>
      </c>
      <c r="D499" s="3">
        <v>12.5753</v>
      </c>
      <c r="E499" s="3">
        <v>11.27</v>
      </c>
      <c r="F499">
        <v>0</v>
      </c>
      <c r="G499">
        <v>-4</v>
      </c>
      <c r="H499" s="6">
        <v>0</v>
      </c>
    </row>
    <row r="500" spans="1:8" x14ac:dyDescent="0.2">
      <c r="A500" t="s">
        <v>232</v>
      </c>
      <c r="B500">
        <v>2011</v>
      </c>
      <c r="C500">
        <v>13</v>
      </c>
      <c r="D500" s="3">
        <v>8.6555</v>
      </c>
      <c r="E500" s="3">
        <v>-1.23</v>
      </c>
      <c r="F500">
        <v>0</v>
      </c>
      <c r="G500">
        <v>-2</v>
      </c>
      <c r="H500" s="6">
        <v>0</v>
      </c>
    </row>
    <row r="501" spans="1:8" x14ac:dyDescent="0.2">
      <c r="A501" t="s">
        <v>233</v>
      </c>
      <c r="B501">
        <v>2011</v>
      </c>
      <c r="C501">
        <v>13</v>
      </c>
      <c r="D501" s="3">
        <v>6.6368999999999998</v>
      </c>
      <c r="E501" s="3">
        <v>1.25</v>
      </c>
      <c r="F501">
        <v>1</v>
      </c>
      <c r="G501">
        <v>-16</v>
      </c>
      <c r="H501" s="6">
        <v>1</v>
      </c>
    </row>
    <row r="502" spans="1:8" x14ac:dyDescent="0.2">
      <c r="A502" t="s">
        <v>234</v>
      </c>
      <c r="B502">
        <v>2011</v>
      </c>
      <c r="C502">
        <v>14</v>
      </c>
      <c r="D502" s="3">
        <v>7.5099</v>
      </c>
      <c r="E502" s="3">
        <v>5.54</v>
      </c>
      <c r="F502">
        <v>0</v>
      </c>
      <c r="G502">
        <v>-8</v>
      </c>
      <c r="H502" s="6">
        <v>0</v>
      </c>
    </row>
    <row r="503" spans="1:8" x14ac:dyDescent="0.2">
      <c r="A503" t="s">
        <v>43</v>
      </c>
      <c r="B503">
        <v>2011</v>
      </c>
      <c r="C503">
        <v>14</v>
      </c>
      <c r="D503" s="3">
        <v>7.4175000000000004</v>
      </c>
      <c r="E503" s="3">
        <v>-0.11</v>
      </c>
      <c r="F503">
        <v>0</v>
      </c>
      <c r="G503">
        <v>-29</v>
      </c>
      <c r="H503" s="6">
        <v>0</v>
      </c>
    </row>
    <row r="504" spans="1:8" x14ac:dyDescent="0.2">
      <c r="A504" t="s">
        <v>235</v>
      </c>
      <c r="B504">
        <v>2011</v>
      </c>
      <c r="C504">
        <v>14</v>
      </c>
      <c r="D504" s="3">
        <v>4.5225</v>
      </c>
      <c r="E504" s="3">
        <v>1.69</v>
      </c>
      <c r="F504">
        <v>0</v>
      </c>
      <c r="G504">
        <v>-17</v>
      </c>
      <c r="H504" s="6">
        <v>0</v>
      </c>
    </row>
    <row r="505" spans="1:8" x14ac:dyDescent="0.2">
      <c r="A505" t="s">
        <v>236</v>
      </c>
      <c r="B505">
        <v>2011</v>
      </c>
      <c r="C505">
        <v>14</v>
      </c>
      <c r="D505" s="3">
        <v>3.1101999999999999</v>
      </c>
      <c r="E505" s="3">
        <v>1.85</v>
      </c>
      <c r="F505">
        <v>0</v>
      </c>
      <c r="G505">
        <v>-22</v>
      </c>
      <c r="H505" s="6">
        <v>0</v>
      </c>
    </row>
    <row r="506" spans="1:8" x14ac:dyDescent="0.2">
      <c r="A506" t="s">
        <v>1189</v>
      </c>
      <c r="B506">
        <v>2011</v>
      </c>
      <c r="C506">
        <v>15</v>
      </c>
      <c r="D506" s="3">
        <v>5.3007</v>
      </c>
      <c r="E506" s="3">
        <v>-6.68</v>
      </c>
      <c r="F506">
        <v>0</v>
      </c>
      <c r="G506">
        <v>-15</v>
      </c>
      <c r="H506" s="6">
        <v>0</v>
      </c>
    </row>
    <row r="507" spans="1:8" x14ac:dyDescent="0.2">
      <c r="A507" t="s">
        <v>237</v>
      </c>
      <c r="B507">
        <v>2011</v>
      </c>
      <c r="C507">
        <v>15</v>
      </c>
      <c r="D507" s="3">
        <v>4.4500999999999999</v>
      </c>
      <c r="E507" s="3">
        <v>0.15</v>
      </c>
      <c r="F507">
        <v>0</v>
      </c>
      <c r="G507">
        <v>-18</v>
      </c>
      <c r="H507" s="6">
        <v>0</v>
      </c>
    </row>
    <row r="508" spans="1:8" x14ac:dyDescent="0.2">
      <c r="A508" t="s">
        <v>238</v>
      </c>
      <c r="B508">
        <v>2011</v>
      </c>
      <c r="C508">
        <v>15</v>
      </c>
      <c r="D508" s="3">
        <v>4.0643000000000002</v>
      </c>
      <c r="E508" s="3">
        <v>4.91</v>
      </c>
      <c r="F508">
        <v>0</v>
      </c>
      <c r="G508">
        <v>-28</v>
      </c>
      <c r="H508" s="6">
        <v>0</v>
      </c>
    </row>
    <row r="509" spans="1:8" x14ac:dyDescent="0.2">
      <c r="A509" t="s">
        <v>46</v>
      </c>
      <c r="B509">
        <v>2011</v>
      </c>
      <c r="C509">
        <v>15</v>
      </c>
      <c r="D509" s="3">
        <v>3.6757</v>
      </c>
      <c r="E509" s="3">
        <v>-0.01</v>
      </c>
      <c r="F509">
        <v>0</v>
      </c>
      <c r="G509">
        <v>-13</v>
      </c>
      <c r="H509" s="6">
        <v>0</v>
      </c>
    </row>
    <row r="510" spans="1:8" x14ac:dyDescent="0.2">
      <c r="A510" t="s">
        <v>89</v>
      </c>
      <c r="B510">
        <v>2011</v>
      </c>
      <c r="C510">
        <v>16</v>
      </c>
      <c r="D510" s="3">
        <v>2.254</v>
      </c>
      <c r="E510" s="3">
        <v>4.54</v>
      </c>
      <c r="F510">
        <v>0</v>
      </c>
      <c r="G510">
        <v>-23</v>
      </c>
      <c r="H510" s="6">
        <v>0</v>
      </c>
    </row>
    <row r="511" spans="1:8" x14ac:dyDescent="0.2">
      <c r="A511" t="s">
        <v>239</v>
      </c>
      <c r="B511">
        <v>2011</v>
      </c>
      <c r="C511">
        <v>16</v>
      </c>
      <c r="D511" s="3">
        <v>-0.44579999999999997</v>
      </c>
      <c r="E511" s="3">
        <v>0.77</v>
      </c>
      <c r="F511">
        <v>0</v>
      </c>
      <c r="G511">
        <v>-19</v>
      </c>
      <c r="H511" s="6">
        <v>0</v>
      </c>
    </row>
    <row r="512" spans="1:8" x14ac:dyDescent="0.2">
      <c r="A512" t="s">
        <v>241</v>
      </c>
      <c r="B512">
        <v>2011</v>
      </c>
      <c r="C512">
        <v>16</v>
      </c>
      <c r="D512" s="3">
        <v>-3.6701999999999999</v>
      </c>
      <c r="E512" s="3">
        <v>-5.14</v>
      </c>
      <c r="F512">
        <v>0</v>
      </c>
      <c r="G512">
        <v>-42</v>
      </c>
      <c r="H512" s="6">
        <v>0</v>
      </c>
    </row>
    <row r="513" spans="1:8" x14ac:dyDescent="0.2">
      <c r="A513" t="s">
        <v>240</v>
      </c>
      <c r="B513">
        <v>2011</v>
      </c>
      <c r="C513">
        <v>16</v>
      </c>
      <c r="D513" s="3">
        <v>-5.1902999999999997</v>
      </c>
      <c r="E513" s="3">
        <v>-4.24</v>
      </c>
      <c r="F513">
        <v>0</v>
      </c>
      <c r="G513">
        <v>-29</v>
      </c>
      <c r="H513" s="6">
        <v>0</v>
      </c>
    </row>
    <row r="514" spans="1:8" x14ac:dyDescent="0.2">
      <c r="A514" t="s">
        <v>4</v>
      </c>
      <c r="B514">
        <v>2010</v>
      </c>
      <c r="C514">
        <v>1</v>
      </c>
      <c r="D514" s="3">
        <v>31.886500000000002</v>
      </c>
      <c r="E514" s="3">
        <v>3.98</v>
      </c>
      <c r="F514">
        <v>1</v>
      </c>
      <c r="G514">
        <v>14</v>
      </c>
      <c r="H514" s="6">
        <v>16</v>
      </c>
    </row>
    <row r="515" spans="1:8" x14ac:dyDescent="0.2">
      <c r="A515" t="s">
        <v>6</v>
      </c>
      <c r="B515">
        <v>2010</v>
      </c>
      <c r="C515">
        <v>1</v>
      </c>
      <c r="D515" s="3">
        <v>30.8062</v>
      </c>
      <c r="E515" s="3">
        <v>5.47</v>
      </c>
      <c r="F515">
        <v>6</v>
      </c>
      <c r="G515">
        <v>87</v>
      </c>
      <c r="H515" s="6">
        <f>(87/6)</f>
        <v>14.5</v>
      </c>
    </row>
    <row r="516" spans="1:8" x14ac:dyDescent="0.2">
      <c r="A516" t="s">
        <v>14</v>
      </c>
      <c r="B516">
        <v>2010</v>
      </c>
      <c r="C516">
        <v>1</v>
      </c>
      <c r="D516" s="3">
        <v>26.954499999999999</v>
      </c>
      <c r="E516" s="3">
        <v>1.44</v>
      </c>
      <c r="F516">
        <v>2</v>
      </c>
      <c r="G516">
        <v>41</v>
      </c>
      <c r="H516" s="6">
        <f>(45/2)</f>
        <v>22.5</v>
      </c>
    </row>
    <row r="517" spans="1:8" x14ac:dyDescent="0.2">
      <c r="A517" t="s">
        <v>66</v>
      </c>
      <c r="B517">
        <v>2010</v>
      </c>
      <c r="C517">
        <v>1</v>
      </c>
      <c r="D517" s="3">
        <v>24.343699999999998</v>
      </c>
      <c r="E517" s="3">
        <v>2.1</v>
      </c>
      <c r="F517">
        <v>3</v>
      </c>
      <c r="G517">
        <v>69</v>
      </c>
      <c r="H517" s="6">
        <f>(76/3)</f>
        <v>25.333333333333332</v>
      </c>
    </row>
    <row r="518" spans="1:8" x14ac:dyDescent="0.2">
      <c r="A518" t="s">
        <v>77</v>
      </c>
      <c r="B518">
        <v>2010</v>
      </c>
      <c r="C518">
        <v>2</v>
      </c>
      <c r="D518" s="3">
        <v>25.132999999999999</v>
      </c>
      <c r="E518" s="3">
        <v>6.54</v>
      </c>
      <c r="F518">
        <v>4</v>
      </c>
      <c r="G518">
        <v>35</v>
      </c>
      <c r="H518" s="6">
        <f>(56/4)</f>
        <v>14</v>
      </c>
    </row>
    <row r="519" spans="1:8" x14ac:dyDescent="0.2">
      <c r="A519" t="s">
        <v>5</v>
      </c>
      <c r="B519">
        <v>2010</v>
      </c>
      <c r="C519">
        <v>2</v>
      </c>
      <c r="D519" s="3">
        <v>24.926400000000001</v>
      </c>
      <c r="E519" s="3">
        <v>1.2</v>
      </c>
      <c r="F519">
        <v>2</v>
      </c>
      <c r="G519">
        <v>23</v>
      </c>
      <c r="H519" s="6">
        <f>(26/2)</f>
        <v>13</v>
      </c>
    </row>
    <row r="520" spans="1:8" x14ac:dyDescent="0.2">
      <c r="A520" t="s">
        <v>16</v>
      </c>
      <c r="B520">
        <v>2010</v>
      </c>
      <c r="C520">
        <v>2</v>
      </c>
      <c r="D520" s="3">
        <v>24.342099999999999</v>
      </c>
      <c r="E520" s="3">
        <v>4.7300000000000004</v>
      </c>
      <c r="F520">
        <v>3</v>
      </c>
      <c r="G520">
        <v>30</v>
      </c>
      <c r="H520" s="6">
        <f>(37/3)</f>
        <v>12.333333333333334</v>
      </c>
    </row>
    <row r="521" spans="1:8" x14ac:dyDescent="0.2">
      <c r="A521" t="s">
        <v>34</v>
      </c>
      <c r="B521">
        <v>2010</v>
      </c>
      <c r="C521">
        <v>2</v>
      </c>
      <c r="D521" s="3">
        <v>22.382899999999999</v>
      </c>
      <c r="E521" s="3">
        <v>1.04</v>
      </c>
      <c r="F521">
        <v>1</v>
      </c>
      <c r="G521">
        <v>-4</v>
      </c>
      <c r="H521" s="6">
        <v>3</v>
      </c>
    </row>
    <row r="522" spans="1:8" x14ac:dyDescent="0.2">
      <c r="A522" t="s">
        <v>7</v>
      </c>
      <c r="B522">
        <v>2010</v>
      </c>
      <c r="C522">
        <v>3</v>
      </c>
      <c r="D522" s="3">
        <v>23.6707</v>
      </c>
      <c r="E522" s="3">
        <v>5.76</v>
      </c>
      <c r="F522">
        <v>0</v>
      </c>
      <c r="G522">
        <v>-14</v>
      </c>
      <c r="H522" s="6">
        <v>0</v>
      </c>
    </row>
    <row r="523" spans="1:8" x14ac:dyDescent="0.2">
      <c r="A523" t="s">
        <v>68</v>
      </c>
      <c r="B523">
        <v>2010</v>
      </c>
      <c r="C523">
        <v>3</v>
      </c>
      <c r="D523" s="3">
        <v>22.854900000000001</v>
      </c>
      <c r="E523" s="3">
        <v>-0.72</v>
      </c>
      <c r="F523">
        <v>3</v>
      </c>
      <c r="G523">
        <v>33</v>
      </c>
      <c r="H523" s="6">
        <f>(40/3)</f>
        <v>13.333333333333334</v>
      </c>
    </row>
    <row r="524" spans="1:8" x14ac:dyDescent="0.2">
      <c r="A524" t="s">
        <v>28</v>
      </c>
      <c r="B524">
        <v>2010</v>
      </c>
      <c r="C524">
        <v>3</v>
      </c>
      <c r="D524" s="3">
        <v>18.351199999999999</v>
      </c>
      <c r="E524" s="3">
        <v>1.58</v>
      </c>
      <c r="F524">
        <v>1</v>
      </c>
      <c r="G524">
        <v>20</v>
      </c>
      <c r="H524" s="6">
        <v>23</v>
      </c>
    </row>
    <row r="525" spans="1:8" x14ac:dyDescent="0.2">
      <c r="A525" t="s">
        <v>11</v>
      </c>
      <c r="B525">
        <v>2010</v>
      </c>
      <c r="C525">
        <v>3</v>
      </c>
      <c r="D525" s="3">
        <v>16.946000000000002</v>
      </c>
      <c r="E525" s="3">
        <v>3.68</v>
      </c>
      <c r="F525">
        <v>1</v>
      </c>
      <c r="G525">
        <v>-13</v>
      </c>
      <c r="H525" s="6">
        <v>5</v>
      </c>
    </row>
    <row r="526" spans="1:8" x14ac:dyDescent="0.2">
      <c r="A526" t="s">
        <v>17</v>
      </c>
      <c r="B526">
        <v>2010</v>
      </c>
      <c r="C526">
        <v>4</v>
      </c>
      <c r="D526" s="3">
        <v>25.084399999999999</v>
      </c>
      <c r="E526" s="3">
        <v>4.1900000000000004</v>
      </c>
      <c r="F526">
        <v>1</v>
      </c>
      <c r="G526">
        <v>-14</v>
      </c>
      <c r="H526" s="6">
        <v>4</v>
      </c>
    </row>
    <row r="527" spans="1:8" x14ac:dyDescent="0.2">
      <c r="A527" t="s">
        <v>303</v>
      </c>
      <c r="B527">
        <v>2010</v>
      </c>
      <c r="C527">
        <v>4</v>
      </c>
      <c r="D527" s="3">
        <v>22.086500000000001</v>
      </c>
      <c r="E527" s="3">
        <v>-1.69</v>
      </c>
      <c r="F527">
        <v>1</v>
      </c>
      <c r="G527">
        <v>10</v>
      </c>
      <c r="H527" s="6">
        <v>12</v>
      </c>
    </row>
    <row r="528" spans="1:8" x14ac:dyDescent="0.2">
      <c r="A528" t="s">
        <v>74</v>
      </c>
      <c r="B528">
        <v>2010</v>
      </c>
      <c r="C528">
        <v>4</v>
      </c>
      <c r="D528" s="3">
        <v>22.0382</v>
      </c>
      <c r="E528" s="3">
        <v>1.43</v>
      </c>
      <c r="F528">
        <v>2</v>
      </c>
      <c r="G528">
        <v>-3</v>
      </c>
      <c r="H528" s="6">
        <f>(10/2)</f>
        <v>5</v>
      </c>
    </row>
    <row r="529" spans="1:8" x14ac:dyDescent="0.2">
      <c r="A529" t="s">
        <v>70</v>
      </c>
      <c r="B529">
        <v>2010</v>
      </c>
      <c r="C529">
        <v>4</v>
      </c>
      <c r="D529" s="3">
        <v>17.1876</v>
      </c>
      <c r="E529" s="3">
        <v>4.45</v>
      </c>
      <c r="F529">
        <v>0</v>
      </c>
      <c r="G529">
        <v>-1</v>
      </c>
      <c r="H529" s="6">
        <v>0</v>
      </c>
    </row>
    <row r="530" spans="1:8" x14ac:dyDescent="0.2">
      <c r="A530" t="s">
        <v>35</v>
      </c>
      <c r="B530">
        <v>2010</v>
      </c>
      <c r="C530">
        <v>5</v>
      </c>
      <c r="D530" s="3">
        <v>20.503799999999998</v>
      </c>
      <c r="E530" s="3">
        <v>6</v>
      </c>
      <c r="F530">
        <v>0</v>
      </c>
      <c r="G530">
        <v>-13</v>
      </c>
      <c r="H530" s="6">
        <v>0</v>
      </c>
    </row>
    <row r="531" spans="1:8" x14ac:dyDescent="0.2">
      <c r="A531" t="s">
        <v>10</v>
      </c>
      <c r="B531">
        <v>2010</v>
      </c>
      <c r="C531">
        <v>5</v>
      </c>
      <c r="D531" s="3">
        <v>19.858499999999999</v>
      </c>
      <c r="E531" s="3">
        <v>1.47</v>
      </c>
      <c r="F531">
        <v>4</v>
      </c>
      <c r="G531">
        <v>11</v>
      </c>
      <c r="H531" s="6">
        <f>(13/4)</f>
        <v>3.25</v>
      </c>
    </row>
    <row r="532" spans="1:8" x14ac:dyDescent="0.2">
      <c r="A532" t="s">
        <v>222</v>
      </c>
      <c r="B532">
        <v>2010</v>
      </c>
      <c r="C532">
        <v>5</v>
      </c>
      <c r="D532" s="3">
        <v>19.7742</v>
      </c>
      <c r="E532" s="3">
        <v>2.67</v>
      </c>
      <c r="F532">
        <v>1</v>
      </c>
      <c r="G532">
        <v>14</v>
      </c>
      <c r="H532" s="6">
        <v>16</v>
      </c>
    </row>
    <row r="533" spans="1:8" x14ac:dyDescent="0.2">
      <c r="A533" t="s">
        <v>23</v>
      </c>
      <c r="B533">
        <v>2010</v>
      </c>
      <c r="C533">
        <v>5</v>
      </c>
      <c r="D533" s="3">
        <v>19.588200000000001</v>
      </c>
      <c r="E533" s="3">
        <v>10.61</v>
      </c>
      <c r="F533">
        <v>5</v>
      </c>
      <c r="G533">
        <v>31</v>
      </c>
      <c r="H533" s="6">
        <f>(33/5)</f>
        <v>6.6</v>
      </c>
    </row>
    <row r="534" spans="1:8" x14ac:dyDescent="0.2">
      <c r="A534" t="s">
        <v>12</v>
      </c>
      <c r="B534">
        <v>2010</v>
      </c>
      <c r="C534">
        <v>6</v>
      </c>
      <c r="D534" s="3">
        <v>20.110399999999998</v>
      </c>
      <c r="E534" s="3">
        <v>-2.17</v>
      </c>
      <c r="F534">
        <v>0</v>
      </c>
      <c r="G534">
        <v>-2</v>
      </c>
      <c r="H534" s="6">
        <v>0</v>
      </c>
    </row>
    <row r="535" spans="1:8" x14ac:dyDescent="0.2">
      <c r="A535" t="s">
        <v>76</v>
      </c>
      <c r="B535">
        <v>2010</v>
      </c>
      <c r="C535">
        <v>6</v>
      </c>
      <c r="D535" s="3">
        <v>19.4847</v>
      </c>
      <c r="E535" s="3">
        <v>8.36</v>
      </c>
      <c r="F535">
        <v>2</v>
      </c>
      <c r="G535">
        <v>9</v>
      </c>
      <c r="H535" s="6">
        <f>(14/2)</f>
        <v>7</v>
      </c>
    </row>
    <row r="536" spans="1:8" x14ac:dyDescent="0.2">
      <c r="A536" t="s">
        <v>26</v>
      </c>
      <c r="B536">
        <v>2010</v>
      </c>
      <c r="C536">
        <v>6</v>
      </c>
      <c r="D536" s="3">
        <v>17.948799999999999</v>
      </c>
      <c r="E536" s="3">
        <v>-3.62</v>
      </c>
      <c r="F536">
        <v>0</v>
      </c>
      <c r="G536">
        <v>-1</v>
      </c>
      <c r="H536" s="6">
        <v>0</v>
      </c>
    </row>
    <row r="537" spans="1:8" x14ac:dyDescent="0.2">
      <c r="A537" t="s">
        <v>225</v>
      </c>
      <c r="B537">
        <v>2010</v>
      </c>
      <c r="C537">
        <v>6</v>
      </c>
      <c r="D537" s="3">
        <v>17.0655</v>
      </c>
      <c r="E537" s="3">
        <v>1.8</v>
      </c>
      <c r="F537">
        <v>3</v>
      </c>
      <c r="G537">
        <v>20</v>
      </c>
      <c r="H537" s="6">
        <f>(21/3)</f>
        <v>7</v>
      </c>
    </row>
    <row r="538" spans="1:8" x14ac:dyDescent="0.2">
      <c r="A538" t="s">
        <v>83</v>
      </c>
      <c r="B538">
        <v>2010</v>
      </c>
      <c r="C538">
        <v>7</v>
      </c>
      <c r="D538" s="3">
        <v>23.816600000000001</v>
      </c>
      <c r="E538" s="3">
        <v>0.64</v>
      </c>
      <c r="F538">
        <v>1</v>
      </c>
      <c r="G538">
        <v>-5</v>
      </c>
      <c r="H538" s="6">
        <v>7</v>
      </c>
    </row>
    <row r="539" spans="1:8" x14ac:dyDescent="0.2">
      <c r="A539" t="s">
        <v>229</v>
      </c>
      <c r="B539">
        <v>2010</v>
      </c>
      <c r="C539">
        <v>7</v>
      </c>
      <c r="D539" s="3">
        <v>19.2532</v>
      </c>
      <c r="E539" s="3">
        <v>-1.01</v>
      </c>
      <c r="F539">
        <v>0</v>
      </c>
      <c r="G539">
        <v>-8</v>
      </c>
      <c r="H539" s="6">
        <v>0</v>
      </c>
    </row>
    <row r="540" spans="1:8" x14ac:dyDescent="0.2">
      <c r="A540" t="s">
        <v>19</v>
      </c>
      <c r="B540">
        <v>2010</v>
      </c>
      <c r="C540">
        <v>7</v>
      </c>
      <c r="D540" s="3">
        <v>16.273299999999999</v>
      </c>
      <c r="E540" s="3">
        <v>-1.73</v>
      </c>
      <c r="F540">
        <v>0</v>
      </c>
      <c r="G540">
        <v>-5</v>
      </c>
      <c r="H540" s="6">
        <v>0</v>
      </c>
    </row>
    <row r="541" spans="1:8" x14ac:dyDescent="0.2">
      <c r="A541" t="s">
        <v>230</v>
      </c>
      <c r="B541">
        <v>2010</v>
      </c>
      <c r="C541">
        <v>7</v>
      </c>
      <c r="D541" s="3">
        <v>15.0122</v>
      </c>
      <c r="E541" s="3">
        <v>2.4500000000000002</v>
      </c>
      <c r="F541">
        <v>0</v>
      </c>
      <c r="G541">
        <v>-9</v>
      </c>
      <c r="H541" s="6">
        <v>0</v>
      </c>
    </row>
    <row r="542" spans="1:8" x14ac:dyDescent="0.2">
      <c r="A542" t="s">
        <v>45</v>
      </c>
      <c r="B542">
        <v>2010</v>
      </c>
      <c r="C542">
        <v>8</v>
      </c>
      <c r="D542" s="3">
        <v>21.654699999999998</v>
      </c>
      <c r="E542" s="3">
        <v>10.199999999999999</v>
      </c>
      <c r="F542">
        <v>1</v>
      </c>
      <c r="G542">
        <v>0</v>
      </c>
      <c r="H542" s="6">
        <v>15</v>
      </c>
    </row>
    <row r="543" spans="1:8" x14ac:dyDescent="0.2">
      <c r="A543" t="s">
        <v>78</v>
      </c>
      <c r="B543">
        <v>2010</v>
      </c>
      <c r="C543">
        <v>8</v>
      </c>
      <c r="D543" s="3">
        <v>20.310600000000001</v>
      </c>
      <c r="E543" s="3">
        <v>0.86</v>
      </c>
      <c r="F543">
        <v>0</v>
      </c>
      <c r="G543">
        <v>-1</v>
      </c>
      <c r="H543" s="6">
        <v>0</v>
      </c>
    </row>
    <row r="544" spans="1:8" x14ac:dyDescent="0.2">
      <c r="A544" t="s">
        <v>20</v>
      </c>
      <c r="B544">
        <v>2010</v>
      </c>
      <c r="C544">
        <v>8</v>
      </c>
      <c r="D544" s="3">
        <v>16.697800000000001</v>
      </c>
      <c r="E544" s="3">
        <v>1.85</v>
      </c>
      <c r="F544">
        <v>0</v>
      </c>
      <c r="G544">
        <v>-3</v>
      </c>
      <c r="H544" s="6">
        <v>0</v>
      </c>
    </row>
    <row r="545" spans="1:8" x14ac:dyDescent="0.2">
      <c r="A545" t="s">
        <v>3</v>
      </c>
      <c r="B545">
        <v>2010</v>
      </c>
      <c r="C545">
        <v>8</v>
      </c>
      <c r="D545" s="3">
        <v>16.396899999999999</v>
      </c>
      <c r="E545" s="3">
        <v>6.08</v>
      </c>
      <c r="F545">
        <v>1</v>
      </c>
      <c r="G545">
        <v>-15</v>
      </c>
      <c r="H545" s="6">
        <v>7</v>
      </c>
    </row>
    <row r="546" spans="1:8" x14ac:dyDescent="0.2">
      <c r="A546" t="s">
        <v>69</v>
      </c>
      <c r="B546">
        <v>2010</v>
      </c>
      <c r="C546">
        <v>9</v>
      </c>
      <c r="D546" s="3">
        <v>18.228200000000001</v>
      </c>
      <c r="E546" s="3">
        <v>-0.5</v>
      </c>
      <c r="F546">
        <v>0</v>
      </c>
      <c r="G546">
        <v>-7</v>
      </c>
      <c r="H546" s="6">
        <v>0</v>
      </c>
    </row>
    <row r="547" spans="1:8" x14ac:dyDescent="0.2">
      <c r="A547" t="s">
        <v>304</v>
      </c>
      <c r="B547">
        <v>2010</v>
      </c>
      <c r="C547">
        <v>9</v>
      </c>
      <c r="D547" s="3">
        <v>17.881399999999999</v>
      </c>
      <c r="E547" s="3">
        <v>-0.16</v>
      </c>
      <c r="F547">
        <v>2</v>
      </c>
      <c r="G547">
        <v>-2</v>
      </c>
      <c r="H547" s="6">
        <f>(5/2)</f>
        <v>2.5</v>
      </c>
    </row>
    <row r="548" spans="1:8" x14ac:dyDescent="0.2">
      <c r="A548" t="s">
        <v>1</v>
      </c>
      <c r="B548">
        <v>2010</v>
      </c>
      <c r="C548">
        <v>9</v>
      </c>
      <c r="D548" s="3">
        <v>17.466899999999999</v>
      </c>
      <c r="E548" s="3">
        <v>2.61</v>
      </c>
      <c r="F548">
        <v>0</v>
      </c>
      <c r="G548">
        <v>-15</v>
      </c>
      <c r="H548" s="6">
        <v>0</v>
      </c>
    </row>
    <row r="549" spans="1:8" x14ac:dyDescent="0.2">
      <c r="A549" t="s">
        <v>305</v>
      </c>
      <c r="B549">
        <v>2010</v>
      </c>
      <c r="C549">
        <v>9</v>
      </c>
      <c r="D549" s="3">
        <v>14.651999999999999</v>
      </c>
      <c r="E549" s="3">
        <v>0.56000000000000005</v>
      </c>
      <c r="F549">
        <v>1</v>
      </c>
      <c r="G549">
        <v>-29</v>
      </c>
      <c r="H549" s="6">
        <v>1</v>
      </c>
    </row>
    <row r="550" spans="1:8" x14ac:dyDescent="0.2">
      <c r="A550" t="s">
        <v>33</v>
      </c>
      <c r="B550">
        <v>2010</v>
      </c>
      <c r="C550">
        <v>10</v>
      </c>
      <c r="D550" s="3">
        <v>19.232399999999998</v>
      </c>
      <c r="E550" s="3">
        <v>-2.61</v>
      </c>
      <c r="F550">
        <v>1</v>
      </c>
      <c r="G550">
        <v>-1</v>
      </c>
      <c r="H550" s="6">
        <v>8</v>
      </c>
    </row>
    <row r="551" spans="1:8" x14ac:dyDescent="0.2">
      <c r="A551" t="s">
        <v>41</v>
      </c>
      <c r="B551">
        <v>2010</v>
      </c>
      <c r="C551">
        <v>10</v>
      </c>
      <c r="D551" s="3">
        <v>18.953900000000001</v>
      </c>
      <c r="E551" s="3">
        <v>2.54</v>
      </c>
      <c r="F551">
        <v>2</v>
      </c>
      <c r="G551">
        <v>-7</v>
      </c>
      <c r="H551" s="6">
        <f>(16/2)</f>
        <v>8</v>
      </c>
    </row>
    <row r="552" spans="1:8" x14ac:dyDescent="0.2">
      <c r="A552" t="s">
        <v>306</v>
      </c>
      <c r="B552">
        <v>2010</v>
      </c>
      <c r="C552">
        <v>10</v>
      </c>
      <c r="D552" s="3">
        <v>17.660900000000002</v>
      </c>
      <c r="E552" s="3">
        <v>-1.02</v>
      </c>
      <c r="F552">
        <v>1</v>
      </c>
      <c r="G552">
        <v>-4</v>
      </c>
      <c r="H552" s="6">
        <v>5</v>
      </c>
    </row>
    <row r="553" spans="1:8" x14ac:dyDescent="0.2">
      <c r="A553" t="s">
        <v>9</v>
      </c>
      <c r="B553">
        <v>2010</v>
      </c>
      <c r="C553">
        <v>10</v>
      </c>
      <c r="D553" s="3">
        <v>14.661799999999999</v>
      </c>
      <c r="E553" s="3">
        <v>0.4</v>
      </c>
      <c r="F553">
        <v>0</v>
      </c>
      <c r="G553">
        <v>-7</v>
      </c>
      <c r="H553" s="6">
        <v>0</v>
      </c>
    </row>
    <row r="554" spans="1:8" x14ac:dyDescent="0.2">
      <c r="A554" t="s">
        <v>40</v>
      </c>
      <c r="B554">
        <v>2010</v>
      </c>
      <c r="C554">
        <v>11</v>
      </c>
      <c r="D554" s="3">
        <v>18.383900000000001</v>
      </c>
      <c r="E554" s="3">
        <v>0.26</v>
      </c>
      <c r="F554">
        <v>0</v>
      </c>
      <c r="G554">
        <v>-11</v>
      </c>
      <c r="H554" s="6">
        <v>0</v>
      </c>
    </row>
    <row r="555" spans="1:8" x14ac:dyDescent="0.2">
      <c r="A555" t="s">
        <v>221</v>
      </c>
      <c r="B555">
        <v>2010</v>
      </c>
      <c r="C555">
        <v>11</v>
      </c>
      <c r="D555" s="3">
        <v>17.464400000000001</v>
      </c>
      <c r="E555" s="3">
        <v>5.1100000000000003</v>
      </c>
      <c r="F555">
        <v>2</v>
      </c>
      <c r="G555">
        <v>7</v>
      </c>
      <c r="H555" s="6">
        <f>(20/2)</f>
        <v>10</v>
      </c>
    </row>
    <row r="556" spans="1:8" x14ac:dyDescent="0.2">
      <c r="A556" t="s">
        <v>224</v>
      </c>
      <c r="B556">
        <v>2010</v>
      </c>
      <c r="C556">
        <v>11</v>
      </c>
      <c r="D556" s="3">
        <v>17.242100000000001</v>
      </c>
      <c r="E556" s="3">
        <v>6.68</v>
      </c>
      <c r="F556">
        <v>1</v>
      </c>
      <c r="G556">
        <v>-7</v>
      </c>
      <c r="H556" s="6">
        <v>1</v>
      </c>
    </row>
    <row r="557" spans="1:8" x14ac:dyDescent="0.2">
      <c r="A557" t="s">
        <v>143</v>
      </c>
      <c r="B557">
        <v>2010</v>
      </c>
      <c r="C557">
        <v>11</v>
      </c>
      <c r="D557" s="3">
        <v>16.828900000000001</v>
      </c>
      <c r="E557" s="3">
        <v>1.07</v>
      </c>
      <c r="F557">
        <v>0</v>
      </c>
      <c r="G557">
        <v>-3</v>
      </c>
      <c r="H557" s="6">
        <v>0</v>
      </c>
    </row>
    <row r="558" spans="1:8" x14ac:dyDescent="0.2">
      <c r="A558" t="s">
        <v>228</v>
      </c>
      <c r="B558">
        <v>2010</v>
      </c>
      <c r="C558">
        <v>12</v>
      </c>
      <c r="D558" s="3">
        <v>20.8872</v>
      </c>
      <c r="E558" s="3">
        <v>1.42</v>
      </c>
      <c r="F558">
        <v>0</v>
      </c>
      <c r="G558">
        <v>-16</v>
      </c>
      <c r="H558" s="6">
        <v>0</v>
      </c>
    </row>
    <row r="559" spans="1:8" x14ac:dyDescent="0.2">
      <c r="A559" t="s">
        <v>307</v>
      </c>
      <c r="B559">
        <v>2010</v>
      </c>
      <c r="C559">
        <v>12</v>
      </c>
      <c r="D559" s="3">
        <v>17.206</v>
      </c>
      <c r="E559" s="3">
        <v>-1.61</v>
      </c>
      <c r="F559">
        <v>0</v>
      </c>
      <c r="G559">
        <v>-18</v>
      </c>
      <c r="H559" s="6">
        <v>0</v>
      </c>
    </row>
    <row r="560" spans="1:8" x14ac:dyDescent="0.2">
      <c r="A560" t="s">
        <v>308</v>
      </c>
      <c r="B560">
        <v>2010</v>
      </c>
      <c r="C560">
        <v>12</v>
      </c>
      <c r="D560" s="3">
        <v>13.270200000000001</v>
      </c>
      <c r="E560" s="3">
        <v>1.56</v>
      </c>
      <c r="F560">
        <v>2</v>
      </c>
      <c r="G560">
        <v>14</v>
      </c>
      <c r="H560" s="6">
        <f>(31/2)</f>
        <v>15.5</v>
      </c>
    </row>
    <row r="561" spans="1:8" x14ac:dyDescent="0.2">
      <c r="A561" t="s">
        <v>49</v>
      </c>
      <c r="B561">
        <v>2010</v>
      </c>
      <c r="C561">
        <v>12</v>
      </c>
      <c r="D561" s="3">
        <v>5.9809000000000001</v>
      </c>
      <c r="E561" s="3">
        <v>0.73</v>
      </c>
      <c r="F561">
        <v>0</v>
      </c>
      <c r="G561">
        <v>-3</v>
      </c>
      <c r="H561" s="6">
        <v>0</v>
      </c>
    </row>
    <row r="562" spans="1:8" x14ac:dyDescent="0.2">
      <c r="A562" t="s">
        <v>71</v>
      </c>
      <c r="B562">
        <v>2010</v>
      </c>
      <c r="C562">
        <v>13</v>
      </c>
      <c r="D562" s="3">
        <v>14.107200000000001</v>
      </c>
      <c r="E562" s="3">
        <v>-6.31</v>
      </c>
      <c r="F562">
        <v>1</v>
      </c>
      <c r="G562">
        <v>-1</v>
      </c>
      <c r="H562" s="6">
        <v>1</v>
      </c>
    </row>
    <row r="563" spans="1:8" x14ac:dyDescent="0.2">
      <c r="A563" t="s">
        <v>309</v>
      </c>
      <c r="B563">
        <v>2010</v>
      </c>
      <c r="C563">
        <v>13</v>
      </c>
      <c r="D563" s="3">
        <v>13.6829</v>
      </c>
      <c r="E563" s="3">
        <v>3.71</v>
      </c>
      <c r="F563">
        <v>0</v>
      </c>
      <c r="G563">
        <v>-8</v>
      </c>
      <c r="H563" s="6">
        <v>0</v>
      </c>
    </row>
    <row r="564" spans="1:8" x14ac:dyDescent="0.2">
      <c r="A564" t="s">
        <v>234</v>
      </c>
      <c r="B564">
        <v>2010</v>
      </c>
      <c r="C564">
        <v>13</v>
      </c>
      <c r="D564" s="3">
        <v>9.2271999999999998</v>
      </c>
      <c r="E564" s="3">
        <v>1.72</v>
      </c>
      <c r="F564">
        <v>0</v>
      </c>
      <c r="G564">
        <v>-4</v>
      </c>
      <c r="H564" s="6">
        <v>0</v>
      </c>
    </row>
    <row r="565" spans="1:8" x14ac:dyDescent="0.2">
      <c r="A565" t="s">
        <v>310</v>
      </c>
      <c r="B565">
        <v>2010</v>
      </c>
      <c r="C565">
        <v>13</v>
      </c>
      <c r="D565" s="3">
        <v>9.1237999999999992</v>
      </c>
      <c r="E565" s="3">
        <v>1.89</v>
      </c>
      <c r="F565">
        <v>0</v>
      </c>
      <c r="G565">
        <v>-12</v>
      </c>
      <c r="H565" s="6">
        <v>0</v>
      </c>
    </row>
    <row r="566" spans="1:8" x14ac:dyDescent="0.2">
      <c r="A566" t="s">
        <v>59</v>
      </c>
      <c r="B566">
        <v>2010</v>
      </c>
      <c r="C566">
        <v>14</v>
      </c>
      <c r="D566" s="3">
        <v>8.3711000000000002</v>
      </c>
      <c r="E566" s="3">
        <v>-0.9</v>
      </c>
      <c r="F566">
        <v>0</v>
      </c>
      <c r="G566">
        <v>-5</v>
      </c>
      <c r="H566" s="6">
        <v>0</v>
      </c>
    </row>
    <row r="567" spans="1:8" x14ac:dyDescent="0.2">
      <c r="A567" t="s">
        <v>81</v>
      </c>
      <c r="B567">
        <v>2010</v>
      </c>
      <c r="C567">
        <v>14</v>
      </c>
      <c r="D567" s="3">
        <v>7.1738999999999997</v>
      </c>
      <c r="E567" s="3">
        <v>0.15</v>
      </c>
      <c r="F567">
        <v>1</v>
      </c>
      <c r="G567">
        <v>-1</v>
      </c>
      <c r="H567" s="6">
        <v>14</v>
      </c>
    </row>
    <row r="568" spans="1:8" x14ac:dyDescent="0.2">
      <c r="A568" t="s">
        <v>311</v>
      </c>
      <c r="B568">
        <v>2010</v>
      </c>
      <c r="C568">
        <v>14</v>
      </c>
      <c r="D568" s="3">
        <v>7.1454000000000004</v>
      </c>
      <c r="E568" s="3">
        <v>2.39</v>
      </c>
      <c r="F568">
        <v>0</v>
      </c>
      <c r="G568">
        <v>-9</v>
      </c>
      <c r="H568" s="6">
        <v>0</v>
      </c>
    </row>
    <row r="569" spans="1:8" x14ac:dyDescent="0.2">
      <c r="A569" t="s">
        <v>231</v>
      </c>
      <c r="B569">
        <v>2010</v>
      </c>
      <c r="C569">
        <v>14</v>
      </c>
      <c r="D569" s="3">
        <v>3.7084000000000001</v>
      </c>
      <c r="E569" s="3">
        <v>7.69</v>
      </c>
      <c r="F569">
        <v>0</v>
      </c>
      <c r="G569">
        <v>-23</v>
      </c>
      <c r="H569" s="6">
        <v>0</v>
      </c>
    </row>
    <row r="570" spans="1:8" x14ac:dyDescent="0.2">
      <c r="A570" t="s">
        <v>238</v>
      </c>
      <c r="B570">
        <v>2010</v>
      </c>
      <c r="C570">
        <v>15</v>
      </c>
      <c r="D570" s="3">
        <v>2.3308</v>
      </c>
      <c r="E570" s="3">
        <v>2.85</v>
      </c>
      <c r="F570">
        <v>0</v>
      </c>
      <c r="G570">
        <v>-17</v>
      </c>
      <c r="H570" s="6">
        <v>0</v>
      </c>
    </row>
    <row r="571" spans="1:8" x14ac:dyDescent="0.2">
      <c r="A571" t="s">
        <v>312</v>
      </c>
      <c r="B571">
        <v>2010</v>
      </c>
      <c r="C571">
        <v>15</v>
      </c>
      <c r="D571" s="3">
        <v>1.8629</v>
      </c>
      <c r="E571" s="3">
        <v>-1.8</v>
      </c>
      <c r="F571">
        <v>0</v>
      </c>
      <c r="G571">
        <v>-27</v>
      </c>
      <c r="H571" s="6">
        <v>0</v>
      </c>
    </row>
    <row r="572" spans="1:8" x14ac:dyDescent="0.2">
      <c r="A572" t="s">
        <v>313</v>
      </c>
      <c r="B572">
        <v>2010</v>
      </c>
      <c r="C572">
        <v>15</v>
      </c>
      <c r="D572" s="3">
        <v>-0.29799999999999999</v>
      </c>
      <c r="E572" s="3">
        <v>-4.2300000000000004</v>
      </c>
      <c r="F572">
        <v>0</v>
      </c>
      <c r="G572">
        <v>-20</v>
      </c>
      <c r="H572" s="6">
        <v>0</v>
      </c>
    </row>
    <row r="573" spans="1:8" x14ac:dyDescent="0.2">
      <c r="A573" t="s">
        <v>314</v>
      </c>
      <c r="B573">
        <v>2010</v>
      </c>
      <c r="C573">
        <v>15</v>
      </c>
      <c r="D573" s="3">
        <v>-1.9124000000000001</v>
      </c>
      <c r="E573" s="3">
        <v>2.63</v>
      </c>
      <c r="F573">
        <v>0</v>
      </c>
      <c r="G573">
        <v>-3</v>
      </c>
      <c r="H573" s="6">
        <v>0</v>
      </c>
    </row>
    <row r="574" spans="1:8" x14ac:dyDescent="0.2">
      <c r="A574" t="s">
        <v>88</v>
      </c>
      <c r="B574">
        <v>2010</v>
      </c>
      <c r="C574">
        <v>16</v>
      </c>
      <c r="D574" s="3">
        <v>3.0087000000000002</v>
      </c>
      <c r="E574" s="3">
        <v>-5.46</v>
      </c>
      <c r="F574">
        <v>0</v>
      </c>
      <c r="G574">
        <v>-23</v>
      </c>
      <c r="H574" s="6">
        <v>0</v>
      </c>
    </row>
    <row r="575" spans="1:8" x14ac:dyDescent="0.2">
      <c r="A575" t="s">
        <v>315</v>
      </c>
      <c r="B575">
        <v>2010</v>
      </c>
      <c r="C575">
        <v>16</v>
      </c>
      <c r="D575" s="3">
        <v>2.3096999999999999</v>
      </c>
      <c r="E575" s="3">
        <v>6.73</v>
      </c>
      <c r="F575">
        <v>0</v>
      </c>
      <c r="G575">
        <v>-29</v>
      </c>
      <c r="H575" s="6">
        <v>0</v>
      </c>
    </row>
    <row r="576" spans="1:8" x14ac:dyDescent="0.2">
      <c r="A576" t="s">
        <v>84</v>
      </c>
      <c r="B576">
        <v>2010</v>
      </c>
      <c r="C576">
        <v>16</v>
      </c>
      <c r="D576" s="3">
        <v>-1.4335</v>
      </c>
      <c r="E576" s="3">
        <v>-9.0500000000000007</v>
      </c>
      <c r="F576">
        <v>0</v>
      </c>
      <c r="G576">
        <v>-16</v>
      </c>
      <c r="H576" s="6">
        <v>0</v>
      </c>
    </row>
    <row r="577" spans="1:8" x14ac:dyDescent="0.2">
      <c r="A577" t="s">
        <v>316</v>
      </c>
      <c r="B577">
        <v>2010</v>
      </c>
      <c r="C577">
        <v>16</v>
      </c>
      <c r="D577" s="3">
        <v>-7.7408999999999999</v>
      </c>
      <c r="E577" s="3">
        <v>11.9</v>
      </c>
      <c r="F577">
        <v>0</v>
      </c>
      <c r="G577">
        <v>-29</v>
      </c>
      <c r="H577" s="6">
        <v>0</v>
      </c>
    </row>
    <row r="578" spans="1:8" x14ac:dyDescent="0.2">
      <c r="A578" t="s">
        <v>28</v>
      </c>
      <c r="B578">
        <v>2009</v>
      </c>
      <c r="C578">
        <v>1</v>
      </c>
      <c r="D578" s="3">
        <v>28.7698</v>
      </c>
      <c r="E578" s="3">
        <v>4.68</v>
      </c>
      <c r="F578">
        <v>3</v>
      </c>
      <c r="G578">
        <v>21</v>
      </c>
      <c r="H578" s="6">
        <f>(23/3)</f>
        <v>7.666666666666667</v>
      </c>
    </row>
    <row r="579" spans="1:8" x14ac:dyDescent="0.2">
      <c r="A579" t="s">
        <v>29</v>
      </c>
      <c r="B579">
        <v>2009</v>
      </c>
      <c r="C579">
        <v>1</v>
      </c>
      <c r="D579" s="3">
        <v>27.9619</v>
      </c>
      <c r="E579" s="3">
        <v>2.82</v>
      </c>
      <c r="F579">
        <v>6</v>
      </c>
      <c r="G579">
        <v>121</v>
      </c>
      <c r="H579" s="6">
        <f>(121/6)</f>
        <v>20.166666666666668</v>
      </c>
    </row>
    <row r="580" spans="1:8" x14ac:dyDescent="0.2">
      <c r="A580" t="s">
        <v>90</v>
      </c>
      <c r="B580">
        <v>2009</v>
      </c>
      <c r="C580">
        <v>1</v>
      </c>
      <c r="D580" s="3">
        <v>27.3842</v>
      </c>
      <c r="E580" s="3">
        <v>0.98</v>
      </c>
      <c r="F580">
        <v>4</v>
      </c>
      <c r="G580">
        <v>92</v>
      </c>
      <c r="H580" s="6">
        <f>(101/4)</f>
        <v>25.25</v>
      </c>
    </row>
    <row r="581" spans="1:8" x14ac:dyDescent="0.2">
      <c r="A581" t="s">
        <v>1</v>
      </c>
      <c r="B581">
        <v>2009</v>
      </c>
      <c r="C581">
        <v>1</v>
      </c>
      <c r="D581" s="3">
        <v>24.864000000000001</v>
      </c>
      <c r="E581" s="3">
        <v>4.21</v>
      </c>
      <c r="F581">
        <v>3</v>
      </c>
      <c r="G581">
        <v>54</v>
      </c>
      <c r="H581" s="6">
        <f>(66/3)</f>
        <v>22</v>
      </c>
    </row>
    <row r="582" spans="1:8" x14ac:dyDescent="0.2">
      <c r="A582" t="s">
        <v>22</v>
      </c>
      <c r="B582">
        <v>2009</v>
      </c>
      <c r="C582">
        <v>2</v>
      </c>
      <c r="D582" s="3">
        <v>28.648800000000001</v>
      </c>
      <c r="E582" s="3">
        <v>6.75</v>
      </c>
      <c r="F582">
        <v>2</v>
      </c>
      <c r="G582">
        <v>19</v>
      </c>
      <c r="H582" s="6">
        <f>(30/2)</f>
        <v>15</v>
      </c>
    </row>
    <row r="583" spans="1:8" x14ac:dyDescent="0.2">
      <c r="A583" t="s">
        <v>6</v>
      </c>
      <c r="B583">
        <v>2009</v>
      </c>
      <c r="C583">
        <v>2</v>
      </c>
      <c r="D583" s="3">
        <v>24.790600000000001</v>
      </c>
      <c r="E583" s="3">
        <v>5.44</v>
      </c>
      <c r="F583">
        <v>2</v>
      </c>
      <c r="G583">
        <v>6</v>
      </c>
      <c r="H583" s="6">
        <f>(29/2)</f>
        <v>14.5</v>
      </c>
    </row>
    <row r="584" spans="1:8" x14ac:dyDescent="0.2">
      <c r="A584" t="s">
        <v>38</v>
      </c>
      <c r="B584">
        <v>2009</v>
      </c>
      <c r="C584">
        <v>2</v>
      </c>
      <c r="D584" s="3">
        <v>22.8141</v>
      </c>
      <c r="E584" s="3">
        <v>2.58</v>
      </c>
      <c r="F584">
        <v>3</v>
      </c>
      <c r="G584">
        <v>39</v>
      </c>
      <c r="H584" s="6">
        <f>(51/3)</f>
        <v>17</v>
      </c>
    </row>
    <row r="585" spans="1:8" x14ac:dyDescent="0.2">
      <c r="A585" t="s">
        <v>10</v>
      </c>
      <c r="B585">
        <v>2009</v>
      </c>
      <c r="C585">
        <v>2</v>
      </c>
      <c r="D585" s="3">
        <v>22.198799999999999</v>
      </c>
      <c r="E585" s="3">
        <v>7.08</v>
      </c>
      <c r="F585">
        <v>5</v>
      </c>
      <c r="G585">
        <v>29</v>
      </c>
      <c r="H585" s="6">
        <f>(46/5)</f>
        <v>9.1999999999999993</v>
      </c>
    </row>
    <row r="586" spans="1:8" x14ac:dyDescent="0.2">
      <c r="A586" t="s">
        <v>33</v>
      </c>
      <c r="B586">
        <v>2009</v>
      </c>
      <c r="C586">
        <v>3</v>
      </c>
      <c r="D586" s="3">
        <v>23.033799999999999</v>
      </c>
      <c r="E586" s="3">
        <v>-0.56999999999999995</v>
      </c>
      <c r="F586">
        <v>3</v>
      </c>
      <c r="G586">
        <v>27</v>
      </c>
      <c r="H586" s="6">
        <f>(34/3)</f>
        <v>11.333333333333334</v>
      </c>
    </row>
    <row r="587" spans="1:8" x14ac:dyDescent="0.2">
      <c r="A587" t="s">
        <v>4</v>
      </c>
      <c r="B587">
        <v>2009</v>
      </c>
      <c r="C587">
        <v>3</v>
      </c>
      <c r="D587" s="3">
        <v>22.621099999999998</v>
      </c>
      <c r="E587" s="3">
        <v>5.33</v>
      </c>
      <c r="F587">
        <v>2</v>
      </c>
      <c r="G587">
        <v>22</v>
      </c>
      <c r="H587" s="6">
        <f>(27/2)</f>
        <v>13.5</v>
      </c>
    </row>
    <row r="588" spans="1:8" x14ac:dyDescent="0.2">
      <c r="A588" t="s">
        <v>14</v>
      </c>
      <c r="B588">
        <v>2009</v>
      </c>
      <c r="C588">
        <v>3</v>
      </c>
      <c r="D588" s="3">
        <v>21.151199999999999</v>
      </c>
      <c r="E588" s="3">
        <v>4.9800000000000004</v>
      </c>
      <c r="F588">
        <v>2</v>
      </c>
      <c r="G588">
        <v>13</v>
      </c>
      <c r="H588" s="6">
        <f>(26/2)</f>
        <v>13</v>
      </c>
    </row>
    <row r="589" spans="1:8" x14ac:dyDescent="0.2">
      <c r="A589" t="s">
        <v>34</v>
      </c>
      <c r="B589">
        <v>2009</v>
      </c>
      <c r="C589">
        <v>3</v>
      </c>
      <c r="D589" s="3">
        <v>21.088799999999999</v>
      </c>
      <c r="E589" s="3">
        <v>-2.08</v>
      </c>
      <c r="F589">
        <v>4</v>
      </c>
      <c r="G589">
        <v>44</v>
      </c>
      <c r="H589" s="6">
        <f>(58/4)</f>
        <v>14.5</v>
      </c>
    </row>
    <row r="590" spans="1:8" x14ac:dyDescent="0.2">
      <c r="A590" t="s">
        <v>3</v>
      </c>
      <c r="B590">
        <v>2009</v>
      </c>
      <c r="C590">
        <v>4</v>
      </c>
      <c r="D590" s="3">
        <v>25.272500000000001</v>
      </c>
      <c r="E590" s="3">
        <v>10.17</v>
      </c>
      <c r="F590">
        <v>2</v>
      </c>
      <c r="G590">
        <v>-6</v>
      </c>
      <c r="H590" s="6">
        <f>(15/2)</f>
        <v>7.5</v>
      </c>
    </row>
    <row r="591" spans="1:8" x14ac:dyDescent="0.2">
      <c r="A591" t="s">
        <v>221</v>
      </c>
      <c r="B591">
        <v>2009</v>
      </c>
      <c r="C591">
        <v>4</v>
      </c>
      <c r="D591" s="3">
        <v>21.4146</v>
      </c>
      <c r="E591" s="3">
        <v>3.54</v>
      </c>
      <c r="F591">
        <v>1</v>
      </c>
      <c r="G591">
        <v>11</v>
      </c>
      <c r="H591" s="6">
        <v>13</v>
      </c>
    </row>
    <row r="592" spans="1:8" x14ac:dyDescent="0.2">
      <c r="A592" t="s">
        <v>305</v>
      </c>
      <c r="B592">
        <v>2009</v>
      </c>
      <c r="C592">
        <v>4</v>
      </c>
      <c r="D592" s="3">
        <v>19.9434</v>
      </c>
      <c r="E592" s="3">
        <v>-3.05</v>
      </c>
      <c r="F592">
        <v>0</v>
      </c>
      <c r="G592">
        <v>-15</v>
      </c>
      <c r="H592" s="6">
        <v>0</v>
      </c>
    </row>
    <row r="593" spans="1:8" x14ac:dyDescent="0.2">
      <c r="A593" t="s">
        <v>76</v>
      </c>
      <c r="B593">
        <v>2009</v>
      </c>
      <c r="C593">
        <v>4</v>
      </c>
      <c r="D593" s="3">
        <v>18.687899999999999</v>
      </c>
      <c r="E593" s="3">
        <v>9.07</v>
      </c>
      <c r="F593">
        <v>2</v>
      </c>
      <c r="G593">
        <v>24</v>
      </c>
      <c r="H593" s="6">
        <f>(29/2)</f>
        <v>14.5</v>
      </c>
    </row>
    <row r="594" spans="1:8" x14ac:dyDescent="0.2">
      <c r="A594" t="s">
        <v>74</v>
      </c>
      <c r="B594">
        <v>2009</v>
      </c>
      <c r="C594">
        <v>5</v>
      </c>
      <c r="D594" s="3">
        <v>21.4801</v>
      </c>
      <c r="E594" s="3">
        <v>-1.63</v>
      </c>
      <c r="F594">
        <v>2</v>
      </c>
      <c r="G594">
        <v>-5</v>
      </c>
      <c r="H594" s="6">
        <f>(7/2)</f>
        <v>3.5</v>
      </c>
    </row>
    <row r="595" spans="1:8" x14ac:dyDescent="0.2">
      <c r="A595" t="s">
        <v>27</v>
      </c>
      <c r="B595">
        <v>2009</v>
      </c>
      <c r="C595">
        <v>5</v>
      </c>
      <c r="D595" s="3">
        <v>18.704499999999999</v>
      </c>
      <c r="E595" s="3">
        <v>0.21</v>
      </c>
      <c r="F595">
        <v>0</v>
      </c>
      <c r="G595">
        <v>-4</v>
      </c>
      <c r="H595" s="6">
        <v>0</v>
      </c>
    </row>
    <row r="596" spans="1:8" x14ac:dyDescent="0.2">
      <c r="A596" t="s">
        <v>380</v>
      </c>
      <c r="B596">
        <v>2009</v>
      </c>
      <c r="C596">
        <v>5</v>
      </c>
      <c r="D596" s="3">
        <v>18.638200000000001</v>
      </c>
      <c r="E596" s="3">
        <v>7.44</v>
      </c>
      <c r="F596">
        <v>0</v>
      </c>
      <c r="G596">
        <v>-13</v>
      </c>
      <c r="H596" s="6">
        <v>0</v>
      </c>
    </row>
    <row r="597" spans="1:8" x14ac:dyDescent="0.2">
      <c r="A597" t="s">
        <v>69</v>
      </c>
      <c r="B597">
        <v>2009</v>
      </c>
      <c r="C597">
        <v>5</v>
      </c>
      <c r="D597" s="3">
        <v>15.729900000000001</v>
      </c>
      <c r="E597" s="3">
        <v>1.64</v>
      </c>
      <c r="F597">
        <v>0</v>
      </c>
      <c r="G597">
        <v>-2</v>
      </c>
      <c r="H597" s="6">
        <v>0</v>
      </c>
    </row>
    <row r="598" spans="1:8" x14ac:dyDescent="0.2">
      <c r="A598" t="s">
        <v>24</v>
      </c>
      <c r="B598">
        <v>2009</v>
      </c>
      <c r="C598">
        <v>6</v>
      </c>
      <c r="D598" s="3">
        <v>24.638000000000002</v>
      </c>
      <c r="E598" s="3">
        <v>0.71</v>
      </c>
      <c r="F598">
        <v>1</v>
      </c>
      <c r="G598">
        <v>-19</v>
      </c>
      <c r="H598" s="6">
        <v>1</v>
      </c>
    </row>
    <row r="599" spans="1:8" x14ac:dyDescent="0.2">
      <c r="A599" t="s">
        <v>77</v>
      </c>
      <c r="B599">
        <v>2009</v>
      </c>
      <c r="C599">
        <v>6</v>
      </c>
      <c r="D599" s="3">
        <v>24.4513</v>
      </c>
      <c r="E599" s="3">
        <v>3.02</v>
      </c>
      <c r="F599">
        <v>0</v>
      </c>
      <c r="G599">
        <v>-8</v>
      </c>
      <c r="H599" s="6">
        <v>0</v>
      </c>
    </row>
    <row r="600" spans="1:8" x14ac:dyDescent="0.2">
      <c r="A600" t="s">
        <v>381</v>
      </c>
      <c r="B600">
        <v>2009</v>
      </c>
      <c r="C600">
        <v>6</v>
      </c>
      <c r="D600" s="3">
        <v>22.9221</v>
      </c>
      <c r="E600" s="3">
        <v>1.18</v>
      </c>
      <c r="F600">
        <v>1</v>
      </c>
      <c r="G600">
        <v>-2</v>
      </c>
      <c r="H600" s="6">
        <v>9</v>
      </c>
    </row>
    <row r="601" spans="1:8" x14ac:dyDescent="0.2">
      <c r="A601" t="s">
        <v>12</v>
      </c>
      <c r="B601">
        <v>2009</v>
      </c>
      <c r="C601">
        <v>6</v>
      </c>
      <c r="D601" s="3">
        <v>20.465699999999998</v>
      </c>
      <c r="E601" s="3">
        <v>-1.34</v>
      </c>
      <c r="F601">
        <v>1</v>
      </c>
      <c r="G601">
        <v>-3</v>
      </c>
      <c r="H601" s="6">
        <v>1</v>
      </c>
    </row>
    <row r="602" spans="1:8" x14ac:dyDescent="0.2">
      <c r="A602" t="s">
        <v>229</v>
      </c>
      <c r="B602">
        <v>2009</v>
      </c>
      <c r="C602">
        <v>7</v>
      </c>
      <c r="D602" s="3">
        <v>19.830300000000001</v>
      </c>
      <c r="E602" s="3">
        <v>-1.36</v>
      </c>
      <c r="F602">
        <v>0</v>
      </c>
      <c r="G602">
        <v>-3</v>
      </c>
      <c r="H602" s="6">
        <v>0</v>
      </c>
    </row>
    <row r="603" spans="1:8" x14ac:dyDescent="0.2">
      <c r="A603" t="s">
        <v>78</v>
      </c>
      <c r="B603">
        <v>2009</v>
      </c>
      <c r="C603">
        <v>7</v>
      </c>
      <c r="D603" s="3">
        <v>18.010899999999999</v>
      </c>
      <c r="E603" s="3">
        <v>3.79</v>
      </c>
      <c r="F603">
        <v>1</v>
      </c>
      <c r="G603">
        <v>9</v>
      </c>
      <c r="H603" s="6">
        <v>14</v>
      </c>
    </row>
    <row r="604" spans="1:8" x14ac:dyDescent="0.2">
      <c r="A604" t="s">
        <v>45</v>
      </c>
      <c r="B604">
        <v>2009</v>
      </c>
      <c r="C604">
        <v>7</v>
      </c>
      <c r="D604" s="3">
        <v>17.869399999999999</v>
      </c>
      <c r="E604" s="3">
        <v>0.17</v>
      </c>
      <c r="F604">
        <v>0</v>
      </c>
      <c r="G604">
        <v>-13</v>
      </c>
      <c r="H604" s="6">
        <v>0</v>
      </c>
    </row>
    <row r="605" spans="1:8" x14ac:dyDescent="0.2">
      <c r="A605" t="s">
        <v>382</v>
      </c>
      <c r="B605">
        <v>2009</v>
      </c>
      <c r="C605">
        <v>7</v>
      </c>
      <c r="D605" s="3">
        <v>11.796200000000001</v>
      </c>
      <c r="E605" s="3">
        <v>-1.88</v>
      </c>
      <c r="F605">
        <v>0</v>
      </c>
      <c r="G605">
        <v>-17</v>
      </c>
      <c r="H605" s="6">
        <v>0</v>
      </c>
    </row>
    <row r="606" spans="1:8" x14ac:dyDescent="0.2">
      <c r="A606" t="s">
        <v>83</v>
      </c>
      <c r="B606">
        <v>2009</v>
      </c>
      <c r="C606">
        <v>8</v>
      </c>
      <c r="D606" s="3">
        <v>21.2378</v>
      </c>
      <c r="E606" s="3">
        <v>1.36</v>
      </c>
      <c r="F606">
        <v>0</v>
      </c>
      <c r="G606">
        <v>-13</v>
      </c>
      <c r="H606" s="6">
        <v>0</v>
      </c>
    </row>
    <row r="607" spans="1:8" x14ac:dyDescent="0.2">
      <c r="A607" t="s">
        <v>19</v>
      </c>
      <c r="B607">
        <v>2009</v>
      </c>
      <c r="C607">
        <v>8</v>
      </c>
      <c r="D607" s="3">
        <v>17.412199999999999</v>
      </c>
      <c r="E607" s="3">
        <v>2.3199999999999998</v>
      </c>
      <c r="F607">
        <v>1</v>
      </c>
      <c r="G607">
        <v>-6</v>
      </c>
      <c r="H607" s="6">
        <v>2</v>
      </c>
    </row>
    <row r="608" spans="1:8" x14ac:dyDescent="0.2">
      <c r="A608" t="s">
        <v>5</v>
      </c>
      <c r="B608">
        <v>2009</v>
      </c>
      <c r="C608">
        <v>8</v>
      </c>
      <c r="D608" s="3">
        <v>16.097100000000001</v>
      </c>
      <c r="E608" s="3">
        <v>1.37</v>
      </c>
      <c r="F608">
        <v>0</v>
      </c>
      <c r="G608">
        <v>-2</v>
      </c>
      <c r="H608" s="6">
        <v>0</v>
      </c>
    </row>
    <row r="609" spans="1:8" x14ac:dyDescent="0.2">
      <c r="A609" t="s">
        <v>383</v>
      </c>
      <c r="B609">
        <v>2009</v>
      </c>
      <c r="C609">
        <v>8</v>
      </c>
      <c r="D609" s="3">
        <v>14.409599999999999</v>
      </c>
      <c r="E609" s="3">
        <v>-3.59</v>
      </c>
      <c r="F609">
        <v>1</v>
      </c>
      <c r="G609">
        <v>-10</v>
      </c>
      <c r="H609" s="6">
        <v>4</v>
      </c>
    </row>
    <row r="610" spans="1:8" x14ac:dyDescent="0.2">
      <c r="A610" t="s">
        <v>225</v>
      </c>
      <c r="B610">
        <v>2009</v>
      </c>
      <c r="C610">
        <v>9</v>
      </c>
      <c r="D610" s="3">
        <v>16.271100000000001</v>
      </c>
      <c r="E610" s="3">
        <v>10.220000000000001</v>
      </c>
      <c r="F610">
        <v>0</v>
      </c>
      <c r="G610">
        <v>-2</v>
      </c>
      <c r="H610" s="6">
        <v>0</v>
      </c>
    </row>
    <row r="611" spans="1:8" x14ac:dyDescent="0.2">
      <c r="A611" t="s">
        <v>23</v>
      </c>
      <c r="B611">
        <v>2009</v>
      </c>
      <c r="C611">
        <v>9</v>
      </c>
      <c r="D611" s="3">
        <v>15.855499999999999</v>
      </c>
      <c r="E611" s="3">
        <v>5.81</v>
      </c>
      <c r="F611">
        <v>0</v>
      </c>
      <c r="G611">
        <v>-4</v>
      </c>
      <c r="H611" s="6">
        <v>0</v>
      </c>
    </row>
    <row r="612" spans="1:8" x14ac:dyDescent="0.2">
      <c r="A612" t="s">
        <v>222</v>
      </c>
      <c r="B612">
        <v>2009</v>
      </c>
      <c r="C612">
        <v>9</v>
      </c>
      <c r="D612" s="3">
        <v>14.009399999999999</v>
      </c>
      <c r="E612" s="3">
        <v>-1.27</v>
      </c>
      <c r="F612">
        <v>1</v>
      </c>
      <c r="G612">
        <v>-13</v>
      </c>
      <c r="H612" s="6">
        <v>13</v>
      </c>
    </row>
    <row r="613" spans="1:8" x14ac:dyDescent="0.2">
      <c r="A613" t="s">
        <v>309</v>
      </c>
      <c r="B613">
        <v>2009</v>
      </c>
      <c r="C613">
        <v>9</v>
      </c>
      <c r="D613" s="3">
        <v>11.3818</v>
      </c>
      <c r="E613" s="3">
        <v>7.87</v>
      </c>
      <c r="F613">
        <v>1</v>
      </c>
      <c r="G613">
        <v>-5</v>
      </c>
      <c r="H613" s="6">
        <v>2</v>
      </c>
    </row>
    <row r="614" spans="1:8" x14ac:dyDescent="0.2">
      <c r="A614" t="s">
        <v>384</v>
      </c>
      <c r="B614">
        <v>2009</v>
      </c>
      <c r="C614">
        <v>10</v>
      </c>
      <c r="D614" s="3">
        <v>17.2485</v>
      </c>
      <c r="E614" s="3">
        <v>4.54</v>
      </c>
      <c r="F614">
        <v>1</v>
      </c>
      <c r="G614">
        <v>12</v>
      </c>
      <c r="H614" s="6">
        <v>17</v>
      </c>
    </row>
    <row r="615" spans="1:8" x14ac:dyDescent="0.2">
      <c r="A615" t="s">
        <v>40</v>
      </c>
      <c r="B615">
        <v>2009</v>
      </c>
      <c r="C615">
        <v>10</v>
      </c>
      <c r="D615" s="3">
        <v>15.3332</v>
      </c>
      <c r="E615" s="3">
        <v>0.25</v>
      </c>
      <c r="F615">
        <v>0</v>
      </c>
      <c r="G615">
        <v>-14</v>
      </c>
      <c r="H615" s="6">
        <v>0</v>
      </c>
    </row>
    <row r="616" spans="1:8" x14ac:dyDescent="0.2">
      <c r="A616" t="s">
        <v>13</v>
      </c>
      <c r="B616">
        <v>2009</v>
      </c>
      <c r="C616">
        <v>10</v>
      </c>
      <c r="D616" s="3">
        <v>14.2285</v>
      </c>
      <c r="E616" s="3">
        <v>3.13</v>
      </c>
      <c r="F616">
        <v>1</v>
      </c>
      <c r="G616">
        <v>-7</v>
      </c>
      <c r="H616" s="6">
        <v>3</v>
      </c>
    </row>
    <row r="617" spans="1:8" x14ac:dyDescent="0.2">
      <c r="A617" t="s">
        <v>303</v>
      </c>
      <c r="B617">
        <v>2009</v>
      </c>
      <c r="C617">
        <v>10</v>
      </c>
      <c r="D617" s="3">
        <v>12.982799999999999</v>
      </c>
      <c r="E617" s="3">
        <v>1.18</v>
      </c>
      <c r="F617">
        <v>1</v>
      </c>
      <c r="G617">
        <v>-6</v>
      </c>
      <c r="H617" s="6">
        <v>13</v>
      </c>
    </row>
    <row r="618" spans="1:8" x14ac:dyDescent="0.2">
      <c r="A618" t="s">
        <v>228</v>
      </c>
      <c r="B618">
        <v>2009</v>
      </c>
      <c r="C618">
        <v>11</v>
      </c>
      <c r="D618" s="3">
        <v>15.0601</v>
      </c>
      <c r="E618" s="3">
        <v>-1.77</v>
      </c>
      <c r="F618">
        <v>0</v>
      </c>
      <c r="G618">
        <v>-1</v>
      </c>
      <c r="H618" s="6">
        <v>0</v>
      </c>
    </row>
    <row r="619" spans="1:8" x14ac:dyDescent="0.2">
      <c r="A619" t="s">
        <v>35</v>
      </c>
      <c r="B619">
        <v>2009</v>
      </c>
      <c r="C619">
        <v>11</v>
      </c>
      <c r="D619" s="3">
        <f>14.0228</f>
        <v>14.0228</v>
      </c>
      <c r="E619" s="3">
        <v>4.9400000000000004</v>
      </c>
      <c r="F619">
        <v>0</v>
      </c>
      <c r="G619">
        <v>-9</v>
      </c>
      <c r="H619" s="6">
        <v>0</v>
      </c>
    </row>
    <row r="620" spans="1:8" x14ac:dyDescent="0.2">
      <c r="A620" t="s">
        <v>18</v>
      </c>
      <c r="B620">
        <v>2009</v>
      </c>
      <c r="C620">
        <v>11</v>
      </c>
      <c r="D620" s="3">
        <v>12.398</v>
      </c>
      <c r="E620" s="3">
        <v>3.41</v>
      </c>
      <c r="F620">
        <v>0</v>
      </c>
      <c r="G620">
        <v>-1</v>
      </c>
      <c r="H620" s="6">
        <v>0</v>
      </c>
    </row>
    <row r="621" spans="1:8" x14ac:dyDescent="0.2">
      <c r="A621" t="s">
        <v>385</v>
      </c>
      <c r="B621">
        <v>2009</v>
      </c>
      <c r="C621">
        <v>11</v>
      </c>
      <c r="D621" s="3">
        <v>9.2764199999999999</v>
      </c>
      <c r="E621" s="3">
        <v>-1.39</v>
      </c>
      <c r="F621">
        <v>1</v>
      </c>
      <c r="G621">
        <v>-9</v>
      </c>
      <c r="H621" s="6">
        <v>8</v>
      </c>
    </row>
    <row r="622" spans="1:8" x14ac:dyDescent="0.2">
      <c r="A622" t="s">
        <v>17</v>
      </c>
      <c r="B622">
        <v>2009</v>
      </c>
      <c r="C622">
        <v>12</v>
      </c>
      <c r="D622" s="3">
        <v>17.584800000000001</v>
      </c>
      <c r="E622" s="3">
        <v>4.1900000000000004</v>
      </c>
      <c r="F622">
        <v>1</v>
      </c>
      <c r="G622">
        <v>-9</v>
      </c>
      <c r="H622" s="6">
        <v>2</v>
      </c>
    </row>
    <row r="623" spans="1:8" x14ac:dyDescent="0.2">
      <c r="A623" t="s">
        <v>21</v>
      </c>
      <c r="B623">
        <v>2009</v>
      </c>
      <c r="C623">
        <v>12</v>
      </c>
      <c r="D623" s="3">
        <v>15.6313</v>
      </c>
      <c r="E623" s="3">
        <v>5.14</v>
      </c>
      <c r="F623">
        <v>2</v>
      </c>
      <c r="G623">
        <v>-12</v>
      </c>
      <c r="H623" s="6">
        <f>(27/2)</f>
        <v>13.5</v>
      </c>
    </row>
    <row r="624" spans="1:8" x14ac:dyDescent="0.2">
      <c r="A624" t="s">
        <v>304</v>
      </c>
      <c r="B624">
        <v>2009</v>
      </c>
      <c r="C624">
        <v>12</v>
      </c>
      <c r="D624" s="3">
        <v>9.6337499999999991</v>
      </c>
      <c r="E624" s="3">
        <v>2.35</v>
      </c>
      <c r="F624">
        <v>0</v>
      </c>
      <c r="G624">
        <v>-5</v>
      </c>
      <c r="H624" s="6">
        <v>0</v>
      </c>
    </row>
    <row r="625" spans="1:8" x14ac:dyDescent="0.2">
      <c r="A625" t="s">
        <v>61</v>
      </c>
      <c r="B625">
        <v>2009</v>
      </c>
      <c r="C625">
        <v>12</v>
      </c>
      <c r="D625" s="3">
        <v>6.9128999999999996</v>
      </c>
      <c r="E625" s="3">
        <v>4.13</v>
      </c>
      <c r="F625">
        <v>1</v>
      </c>
      <c r="G625">
        <v>2</v>
      </c>
      <c r="H625" s="6">
        <v>4</v>
      </c>
    </row>
    <row r="626" spans="1:8" x14ac:dyDescent="0.2">
      <c r="A626" t="s">
        <v>387</v>
      </c>
      <c r="B626">
        <v>2009</v>
      </c>
      <c r="C626">
        <v>13</v>
      </c>
      <c r="D626" s="3">
        <v>11.539099999999999</v>
      </c>
      <c r="E626" s="3">
        <v>-0.27</v>
      </c>
      <c r="F626">
        <v>0</v>
      </c>
      <c r="G626">
        <v>-13</v>
      </c>
      <c r="H626" s="6">
        <v>0</v>
      </c>
    </row>
    <row r="627" spans="1:8" x14ac:dyDescent="0.2">
      <c r="A627" t="s">
        <v>386</v>
      </c>
      <c r="B627">
        <v>2009</v>
      </c>
      <c r="C627">
        <v>13</v>
      </c>
      <c r="D627" s="3">
        <v>11.400399999999999</v>
      </c>
      <c r="E627" s="3">
        <v>5.93</v>
      </c>
      <c r="F627">
        <v>1</v>
      </c>
      <c r="G627">
        <v>1</v>
      </c>
      <c r="H627" s="6">
        <v>15</v>
      </c>
    </row>
    <row r="628" spans="1:8" x14ac:dyDescent="0.2">
      <c r="A628" t="s">
        <v>46</v>
      </c>
      <c r="B628">
        <v>2009</v>
      </c>
      <c r="C628">
        <v>13</v>
      </c>
      <c r="D628" s="3">
        <v>6.8503999999999996</v>
      </c>
      <c r="E628" s="3">
        <v>-2.61</v>
      </c>
      <c r="F628">
        <v>0</v>
      </c>
      <c r="G628">
        <v>-13</v>
      </c>
      <c r="H628" s="6">
        <v>0</v>
      </c>
    </row>
    <row r="629" spans="1:8" x14ac:dyDescent="0.2">
      <c r="A629" t="s">
        <v>388</v>
      </c>
      <c r="B629">
        <v>2009</v>
      </c>
      <c r="C629">
        <v>13</v>
      </c>
      <c r="D629" s="3">
        <v>4.7007000000000003</v>
      </c>
      <c r="E629" s="3">
        <v>-0.57999999999999996</v>
      </c>
      <c r="F629">
        <v>0</v>
      </c>
      <c r="G629">
        <v>-18</v>
      </c>
      <c r="H629" s="6">
        <v>0</v>
      </c>
    </row>
    <row r="630" spans="1:8" x14ac:dyDescent="0.2">
      <c r="A630" t="s">
        <v>389</v>
      </c>
      <c r="B630">
        <v>2009</v>
      </c>
      <c r="C630">
        <v>14</v>
      </c>
      <c r="D630" s="3">
        <v>12.1302</v>
      </c>
      <c r="E630" s="3">
        <v>0.35</v>
      </c>
      <c r="F630">
        <v>0</v>
      </c>
      <c r="G630">
        <v>-10</v>
      </c>
      <c r="H630" s="6">
        <v>0</v>
      </c>
    </row>
    <row r="631" spans="1:8" x14ac:dyDescent="0.2">
      <c r="A631" t="s">
        <v>390</v>
      </c>
      <c r="B631">
        <v>2009</v>
      </c>
      <c r="C631">
        <v>14</v>
      </c>
      <c r="D631" s="3">
        <v>6.6742999999999997</v>
      </c>
      <c r="E631" s="3">
        <v>1.5</v>
      </c>
      <c r="F631">
        <v>0</v>
      </c>
      <c r="G631">
        <v>-15</v>
      </c>
      <c r="H631" s="6">
        <v>0</v>
      </c>
    </row>
    <row r="632" spans="1:8" x14ac:dyDescent="0.2">
      <c r="A632" t="s">
        <v>308</v>
      </c>
      <c r="B632">
        <v>2009</v>
      </c>
      <c r="C632">
        <v>14</v>
      </c>
      <c r="D632" s="3">
        <v>5.3002000000000002</v>
      </c>
      <c r="E632" s="3">
        <v>-1.33</v>
      </c>
      <c r="F632">
        <v>0</v>
      </c>
      <c r="G632">
        <v>-19</v>
      </c>
      <c r="H632" s="6">
        <v>0</v>
      </c>
    </row>
    <row r="633" spans="1:8" x14ac:dyDescent="0.2">
      <c r="A633" t="s">
        <v>391</v>
      </c>
      <c r="B633">
        <v>2009</v>
      </c>
      <c r="C633">
        <v>14</v>
      </c>
      <c r="D633" s="3">
        <v>4.3807</v>
      </c>
      <c r="E633" s="3">
        <v>-2.38</v>
      </c>
      <c r="F633">
        <v>0</v>
      </c>
      <c r="G633">
        <v>-13</v>
      </c>
      <c r="H633" s="6">
        <v>0</v>
      </c>
    </row>
    <row r="634" spans="1:8" x14ac:dyDescent="0.2">
      <c r="A634" t="s">
        <v>392</v>
      </c>
      <c r="B634">
        <v>2009</v>
      </c>
      <c r="C634">
        <v>15</v>
      </c>
      <c r="D634" s="3">
        <v>5.0453000000000001</v>
      </c>
      <c r="E634" s="3">
        <v>2.14</v>
      </c>
      <c r="F634">
        <v>0</v>
      </c>
      <c r="G634">
        <v>-11</v>
      </c>
      <c r="H634" s="6">
        <v>0</v>
      </c>
    </row>
    <row r="635" spans="1:8" x14ac:dyDescent="0.2">
      <c r="A635" t="s">
        <v>314</v>
      </c>
      <c r="B635">
        <v>2009</v>
      </c>
      <c r="C635">
        <v>15</v>
      </c>
      <c r="D635" s="3">
        <v>1.5199</v>
      </c>
      <c r="E635" s="3">
        <v>-0.84</v>
      </c>
      <c r="F635">
        <v>0</v>
      </c>
      <c r="G635">
        <v>-15</v>
      </c>
      <c r="H635" s="6">
        <v>0</v>
      </c>
    </row>
    <row r="636" spans="1:8" x14ac:dyDescent="0.2">
      <c r="A636" t="s">
        <v>312</v>
      </c>
      <c r="B636">
        <v>2009</v>
      </c>
      <c r="C636">
        <v>15</v>
      </c>
      <c r="D636" s="3">
        <v>1.2978000000000001</v>
      </c>
      <c r="E636" s="3">
        <v>1.6</v>
      </c>
      <c r="F636">
        <v>0</v>
      </c>
      <c r="G636">
        <v>-28</v>
      </c>
      <c r="H636" s="6">
        <v>0</v>
      </c>
    </row>
    <row r="637" spans="1:8" x14ac:dyDescent="0.2">
      <c r="A637" t="s">
        <v>393</v>
      </c>
      <c r="B637">
        <v>2009</v>
      </c>
      <c r="C637">
        <v>15</v>
      </c>
      <c r="D637" s="3">
        <v>-0.91779999999999995</v>
      </c>
      <c r="E637" s="3">
        <v>-5.41</v>
      </c>
      <c r="F637">
        <v>0</v>
      </c>
      <c r="G637">
        <v>-24</v>
      </c>
      <c r="H637" s="6">
        <v>0</v>
      </c>
    </row>
    <row r="638" spans="1:8" x14ac:dyDescent="0.2">
      <c r="A638" t="s">
        <v>315</v>
      </c>
      <c r="B638">
        <v>2009</v>
      </c>
      <c r="C638">
        <v>16</v>
      </c>
      <c r="D638" s="3">
        <v>4.9260000000000002</v>
      </c>
      <c r="E638" s="3">
        <v>-2.42</v>
      </c>
      <c r="F638">
        <v>0</v>
      </c>
      <c r="G638">
        <v>-10</v>
      </c>
      <c r="H638" s="6">
        <v>0</v>
      </c>
    </row>
    <row r="639" spans="1:8" x14ac:dyDescent="0.2">
      <c r="A639" t="s">
        <v>233</v>
      </c>
      <c r="B639">
        <v>2009</v>
      </c>
      <c r="C639">
        <v>16</v>
      </c>
      <c r="D639" s="3">
        <v>-1.09E-2</v>
      </c>
      <c r="E639" s="3">
        <v>0.32</v>
      </c>
      <c r="F639">
        <v>0</v>
      </c>
      <c r="G639">
        <v>-20</v>
      </c>
      <c r="H639" s="6">
        <v>0</v>
      </c>
    </row>
    <row r="640" spans="1:8" x14ac:dyDescent="0.2">
      <c r="A640" t="s">
        <v>394</v>
      </c>
      <c r="B640">
        <v>2009</v>
      </c>
      <c r="C640">
        <v>16</v>
      </c>
      <c r="D640" s="3">
        <v>-0.47560000000000002</v>
      </c>
      <c r="E640" s="3">
        <v>6.19</v>
      </c>
      <c r="F640">
        <v>0</v>
      </c>
      <c r="G640">
        <v>-43</v>
      </c>
      <c r="H640" s="6">
        <v>0</v>
      </c>
    </row>
    <row r="641" spans="1:8" x14ac:dyDescent="0.2">
      <c r="A641" t="s">
        <v>395</v>
      </c>
      <c r="B641">
        <v>2009</v>
      </c>
      <c r="C641">
        <v>16</v>
      </c>
      <c r="D641" s="3">
        <v>-3.746</v>
      </c>
      <c r="E641" s="3">
        <v>10.119999999999999</v>
      </c>
      <c r="F641">
        <v>0</v>
      </c>
      <c r="G641">
        <v>-56</v>
      </c>
      <c r="H641" s="6">
        <v>0</v>
      </c>
    </row>
    <row r="642" spans="1:8" x14ac:dyDescent="0.2">
      <c r="A642" t="s">
        <v>4</v>
      </c>
      <c r="B642">
        <v>2008</v>
      </c>
      <c r="C642">
        <v>1</v>
      </c>
      <c r="D642" s="3">
        <v>33.213700000000003</v>
      </c>
      <c r="E642" s="3">
        <v>1.98</v>
      </c>
      <c r="F642">
        <v>6</v>
      </c>
      <c r="G642">
        <v>85</v>
      </c>
      <c r="H642" s="6">
        <f>(85/6)</f>
        <v>14.166666666666666</v>
      </c>
    </row>
    <row r="643" spans="1:8" x14ac:dyDescent="0.2">
      <c r="A643" t="s">
        <v>24</v>
      </c>
      <c r="B643">
        <v>2008</v>
      </c>
      <c r="C643">
        <v>1</v>
      </c>
      <c r="D643" s="3">
        <v>29.938500000000001</v>
      </c>
      <c r="E643" s="3">
        <v>1.84</v>
      </c>
      <c r="F643">
        <v>4</v>
      </c>
      <c r="G643">
        <v>47</v>
      </c>
      <c r="H643" s="6">
        <f>(62/4)</f>
        <v>15.5</v>
      </c>
    </row>
    <row r="644" spans="1:8" x14ac:dyDescent="0.2">
      <c r="A644" t="s">
        <v>22</v>
      </c>
      <c r="B644">
        <v>2008</v>
      </c>
      <c r="C644">
        <v>1</v>
      </c>
      <c r="D644" s="3">
        <v>28.730399999999999</v>
      </c>
      <c r="E644" s="3">
        <v>7.83</v>
      </c>
      <c r="F644">
        <v>5</v>
      </c>
      <c r="G644">
        <v>72</v>
      </c>
      <c r="H644" s="6">
        <f>(79/5)</f>
        <v>15.8</v>
      </c>
    </row>
    <row r="645" spans="1:8" x14ac:dyDescent="0.2">
      <c r="A645" t="s">
        <v>29</v>
      </c>
      <c r="B645">
        <v>2008</v>
      </c>
      <c r="C645">
        <v>1</v>
      </c>
      <c r="D645" s="3">
        <v>27.54</v>
      </c>
      <c r="E645" s="3">
        <v>2.9</v>
      </c>
      <c r="F645">
        <v>4</v>
      </c>
      <c r="G645">
        <v>83</v>
      </c>
      <c r="H645" s="6">
        <f>(101/4)</f>
        <v>25.25</v>
      </c>
    </row>
    <row r="646" spans="1:8" x14ac:dyDescent="0.2">
      <c r="A646" t="s">
        <v>6</v>
      </c>
      <c r="B646">
        <v>2008</v>
      </c>
      <c r="C646">
        <v>2</v>
      </c>
      <c r="D646" s="3">
        <v>27.044599999999999</v>
      </c>
      <c r="E646" s="3">
        <v>5.87</v>
      </c>
      <c r="F646">
        <v>1</v>
      </c>
      <c r="G646">
        <v>-5</v>
      </c>
      <c r="H646" s="6">
        <v>1</v>
      </c>
    </row>
    <row r="647" spans="1:8" x14ac:dyDescent="0.2">
      <c r="A647" t="s">
        <v>7</v>
      </c>
      <c r="B647">
        <v>2008</v>
      </c>
      <c r="C647">
        <v>2</v>
      </c>
      <c r="D647" s="3">
        <v>24.404199999999999</v>
      </c>
      <c r="E647" s="3">
        <v>0.05</v>
      </c>
      <c r="F647">
        <v>1</v>
      </c>
      <c r="G647">
        <v>15</v>
      </c>
      <c r="H647" s="6">
        <v>19</v>
      </c>
    </row>
    <row r="648" spans="1:8" x14ac:dyDescent="0.2">
      <c r="A648" t="s">
        <v>78</v>
      </c>
      <c r="B648">
        <v>2008</v>
      </c>
      <c r="C648">
        <v>2</v>
      </c>
      <c r="D648" s="3">
        <v>24.3005</v>
      </c>
      <c r="E648" s="3">
        <v>3.18</v>
      </c>
      <c r="F648">
        <v>3</v>
      </c>
      <c r="G648">
        <v>24</v>
      </c>
      <c r="H648" s="6">
        <f>(43/3)</f>
        <v>14.333333333333334</v>
      </c>
    </row>
    <row r="649" spans="1:8" x14ac:dyDescent="0.2">
      <c r="A649" t="s">
        <v>225</v>
      </c>
      <c r="B649">
        <v>2008</v>
      </c>
      <c r="C649">
        <v>2</v>
      </c>
      <c r="D649" s="3">
        <v>21.868600000000001</v>
      </c>
      <c r="E649" s="3">
        <v>8.77</v>
      </c>
      <c r="F649">
        <v>2</v>
      </c>
      <c r="G649">
        <v>1</v>
      </c>
      <c r="H649" s="6">
        <f>(20/2)</f>
        <v>10</v>
      </c>
    </row>
    <row r="650" spans="1:8" x14ac:dyDescent="0.2">
      <c r="A650" t="s">
        <v>17</v>
      </c>
      <c r="B650">
        <v>2008</v>
      </c>
      <c r="C650">
        <v>3</v>
      </c>
      <c r="D650" s="3">
        <v>26.931999999999999</v>
      </c>
      <c r="E650" s="3">
        <v>3.64</v>
      </c>
      <c r="F650">
        <v>2</v>
      </c>
      <c r="G650">
        <v>15</v>
      </c>
      <c r="H650" s="6">
        <f>(32/2)</f>
        <v>16</v>
      </c>
    </row>
    <row r="651" spans="1:8" x14ac:dyDescent="0.2">
      <c r="A651" t="s">
        <v>459</v>
      </c>
      <c r="B651">
        <v>2008</v>
      </c>
      <c r="C651">
        <v>3</v>
      </c>
      <c r="D651" s="3">
        <v>23.374300000000002</v>
      </c>
      <c r="E651" s="3">
        <v>-3.74</v>
      </c>
      <c r="F651">
        <v>2</v>
      </c>
      <c r="G651">
        <v>5</v>
      </c>
      <c r="H651" s="6">
        <f>(25/2)</f>
        <v>12.5</v>
      </c>
    </row>
    <row r="652" spans="1:8" x14ac:dyDescent="0.2">
      <c r="A652" t="s">
        <v>1</v>
      </c>
      <c r="B652">
        <v>2008</v>
      </c>
      <c r="C652">
        <v>3</v>
      </c>
      <c r="D652" s="3">
        <v>22.7607</v>
      </c>
      <c r="E652" s="3">
        <v>3.51</v>
      </c>
      <c r="F652">
        <v>3</v>
      </c>
      <c r="G652">
        <v>57</v>
      </c>
      <c r="H652" s="6">
        <f>(67/3)</f>
        <v>22.333333333333332</v>
      </c>
    </row>
    <row r="653" spans="1:8" x14ac:dyDescent="0.2">
      <c r="A653" t="s">
        <v>76</v>
      </c>
      <c r="B653">
        <v>2008</v>
      </c>
      <c r="C653">
        <v>3</v>
      </c>
      <c r="D653" s="3">
        <v>21.871300000000002</v>
      </c>
      <c r="E653" s="3">
        <v>5.65</v>
      </c>
      <c r="F653">
        <v>3</v>
      </c>
      <c r="G653">
        <v>4</v>
      </c>
      <c r="H653" s="6">
        <f>(23/3)</f>
        <v>7.666666666666667</v>
      </c>
    </row>
    <row r="654" spans="1:8" x14ac:dyDescent="0.2">
      <c r="A654" t="s">
        <v>460</v>
      </c>
      <c r="B654">
        <v>2008</v>
      </c>
      <c r="C654">
        <v>4</v>
      </c>
      <c r="D654" s="3">
        <v>23.407499999999999</v>
      </c>
      <c r="E654" s="3">
        <v>-4.6100000000000003</v>
      </c>
      <c r="F654">
        <v>2</v>
      </c>
      <c r="G654">
        <v>31</v>
      </c>
      <c r="H654" s="6">
        <f>(51/2)</f>
        <v>25.5</v>
      </c>
    </row>
    <row r="655" spans="1:8" x14ac:dyDescent="0.2">
      <c r="A655" t="s">
        <v>28</v>
      </c>
      <c r="B655">
        <v>2008</v>
      </c>
      <c r="C655">
        <v>4</v>
      </c>
      <c r="D655" s="3">
        <v>19.0596</v>
      </c>
      <c r="E655" s="3">
        <v>1.1399999999999999</v>
      </c>
      <c r="F655">
        <v>1</v>
      </c>
      <c r="G655">
        <v>8</v>
      </c>
      <c r="H655" s="6">
        <v>19</v>
      </c>
    </row>
    <row r="656" spans="1:8" x14ac:dyDescent="0.2">
      <c r="A656" t="s">
        <v>90</v>
      </c>
      <c r="B656">
        <v>2008</v>
      </c>
      <c r="C656">
        <v>4</v>
      </c>
      <c r="D656" s="3">
        <v>18.622399999999999</v>
      </c>
      <c r="E656" s="3">
        <v>1.75</v>
      </c>
      <c r="F656">
        <v>0</v>
      </c>
      <c r="G656">
        <v>-1</v>
      </c>
      <c r="H656" s="6">
        <v>0</v>
      </c>
    </row>
    <row r="657" spans="1:8" x14ac:dyDescent="0.2">
      <c r="A657" t="s">
        <v>70</v>
      </c>
      <c r="B657">
        <v>2008</v>
      </c>
      <c r="C657">
        <v>4</v>
      </c>
      <c r="D657" s="3">
        <v>13.165100000000001</v>
      </c>
      <c r="E657" s="3">
        <v>1.36</v>
      </c>
      <c r="F657">
        <v>0</v>
      </c>
      <c r="G657">
        <v>-21</v>
      </c>
      <c r="H657" s="6">
        <v>0</v>
      </c>
    </row>
    <row r="658" spans="1:8" x14ac:dyDescent="0.2">
      <c r="A658" t="s">
        <v>229</v>
      </c>
      <c r="B658">
        <v>2008</v>
      </c>
      <c r="C658">
        <v>5</v>
      </c>
      <c r="D658" s="3">
        <v>21.932600000000001</v>
      </c>
      <c r="E658" s="3">
        <v>2.4</v>
      </c>
      <c r="F658">
        <v>0</v>
      </c>
      <c r="G658">
        <v>-6</v>
      </c>
      <c r="H658" s="6">
        <v>0</v>
      </c>
    </row>
    <row r="659" spans="1:8" x14ac:dyDescent="0.2">
      <c r="A659" t="s">
        <v>461</v>
      </c>
      <c r="B659">
        <v>2008</v>
      </c>
      <c r="C659">
        <v>5</v>
      </c>
      <c r="D659" s="3">
        <v>21.696999999999999</v>
      </c>
      <c r="E659" s="3">
        <v>0.68</v>
      </c>
      <c r="F659">
        <v>0</v>
      </c>
      <c r="G659">
        <v>-2</v>
      </c>
      <c r="H659" s="6">
        <v>0</v>
      </c>
    </row>
    <row r="660" spans="1:8" x14ac:dyDescent="0.2">
      <c r="A660" t="s">
        <v>10</v>
      </c>
      <c r="B660">
        <v>2008</v>
      </c>
      <c r="C660">
        <v>5</v>
      </c>
      <c r="D660" s="3">
        <v>20.267800000000001</v>
      </c>
      <c r="E660" s="3">
        <v>3.64</v>
      </c>
      <c r="F660">
        <v>2</v>
      </c>
      <c r="G660">
        <v>4</v>
      </c>
      <c r="H660" s="6">
        <f>(22/2)</f>
        <v>11</v>
      </c>
    </row>
    <row r="661" spans="1:8" x14ac:dyDescent="0.2">
      <c r="A661" t="s">
        <v>26</v>
      </c>
      <c r="B661">
        <v>2008</v>
      </c>
      <c r="C661">
        <v>5</v>
      </c>
      <c r="D661" s="3">
        <v>18.771899999999999</v>
      </c>
      <c r="E661" s="3">
        <v>-2.82</v>
      </c>
      <c r="F661">
        <v>1</v>
      </c>
      <c r="G661">
        <v>-2</v>
      </c>
      <c r="H661" s="6">
        <v>18</v>
      </c>
    </row>
    <row r="662" spans="1:8" x14ac:dyDescent="0.2">
      <c r="A662" t="s">
        <v>12</v>
      </c>
      <c r="B662">
        <v>2008</v>
      </c>
      <c r="C662">
        <v>6</v>
      </c>
      <c r="D662" s="3">
        <v>21.435600000000001</v>
      </c>
      <c r="E662" s="3">
        <v>-1.66</v>
      </c>
      <c r="F662">
        <v>1</v>
      </c>
      <c r="G662">
        <v>7</v>
      </c>
      <c r="H662" s="6">
        <v>8</v>
      </c>
    </row>
    <row r="663" spans="1:8" x14ac:dyDescent="0.2">
      <c r="A663" t="s">
        <v>384</v>
      </c>
      <c r="B663">
        <v>2008</v>
      </c>
      <c r="C663">
        <v>6</v>
      </c>
      <c r="D663" s="3">
        <v>19.4818</v>
      </c>
      <c r="E663" s="3">
        <v>2.2400000000000002</v>
      </c>
      <c r="F663">
        <v>0</v>
      </c>
      <c r="G663">
        <v>-13</v>
      </c>
      <c r="H663" s="6">
        <v>0</v>
      </c>
    </row>
    <row r="664" spans="1:8" x14ac:dyDescent="0.2">
      <c r="A664" t="s">
        <v>74</v>
      </c>
      <c r="B664">
        <v>2008</v>
      </c>
      <c r="C664">
        <v>6</v>
      </c>
      <c r="D664" s="3">
        <v>17.647300000000001</v>
      </c>
      <c r="E664" s="3">
        <v>-0.18</v>
      </c>
      <c r="F664">
        <v>1</v>
      </c>
      <c r="G664">
        <v>4</v>
      </c>
      <c r="H664" s="6">
        <v>11</v>
      </c>
    </row>
    <row r="665" spans="1:8" x14ac:dyDescent="0.2">
      <c r="A665" t="s">
        <v>38</v>
      </c>
      <c r="B665">
        <v>2008</v>
      </c>
      <c r="C665">
        <v>6</v>
      </c>
      <c r="D665" s="3">
        <v>14.715999999999999</v>
      </c>
      <c r="E665" s="3">
        <v>2.42</v>
      </c>
      <c r="F665">
        <v>1</v>
      </c>
      <c r="G665">
        <v>-22</v>
      </c>
      <c r="H665" s="6">
        <v>8</v>
      </c>
    </row>
    <row r="666" spans="1:8" x14ac:dyDescent="0.2">
      <c r="A666" t="s">
        <v>77</v>
      </c>
      <c r="B666">
        <v>2008</v>
      </c>
      <c r="C666">
        <v>7</v>
      </c>
      <c r="D666" s="3">
        <v>19.578299999999999</v>
      </c>
      <c r="E666" s="3">
        <v>-0.78</v>
      </c>
      <c r="F666">
        <v>2</v>
      </c>
      <c r="G666">
        <v>12</v>
      </c>
      <c r="H666" s="6">
        <f>(16/2)</f>
        <v>8</v>
      </c>
    </row>
    <row r="667" spans="1:8" x14ac:dyDescent="0.2">
      <c r="A667" t="s">
        <v>23</v>
      </c>
      <c r="B667">
        <v>2008</v>
      </c>
      <c r="C667">
        <v>7</v>
      </c>
      <c r="D667" s="3">
        <v>18.893000000000001</v>
      </c>
      <c r="E667" s="3">
        <v>5.84</v>
      </c>
      <c r="F667">
        <v>1</v>
      </c>
      <c r="G667">
        <v>15</v>
      </c>
      <c r="H667" s="6">
        <v>20</v>
      </c>
    </row>
    <row r="668" spans="1:8" x14ac:dyDescent="0.2">
      <c r="A668" t="s">
        <v>3</v>
      </c>
      <c r="B668">
        <v>2008</v>
      </c>
      <c r="C668">
        <v>7</v>
      </c>
      <c r="D668" s="3">
        <v>18.815200000000001</v>
      </c>
      <c r="E668" s="3">
        <v>9.14</v>
      </c>
      <c r="F668">
        <v>0</v>
      </c>
      <c r="G668">
        <v>-6</v>
      </c>
      <c r="H668" s="6">
        <v>0</v>
      </c>
    </row>
    <row r="669" spans="1:8" x14ac:dyDescent="0.2">
      <c r="A669" t="s">
        <v>8</v>
      </c>
      <c r="B669">
        <v>2008</v>
      </c>
      <c r="C669">
        <v>7</v>
      </c>
      <c r="D669" s="3">
        <v>14.054</v>
      </c>
      <c r="E669" s="3">
        <v>-2.81</v>
      </c>
      <c r="F669">
        <v>1</v>
      </c>
      <c r="G669">
        <v>11</v>
      </c>
      <c r="H669" s="6">
        <v>14</v>
      </c>
    </row>
    <row r="670" spans="1:8" x14ac:dyDescent="0.2">
      <c r="A670" t="s">
        <v>2</v>
      </c>
      <c r="B670">
        <v>2008</v>
      </c>
      <c r="C670">
        <v>8</v>
      </c>
      <c r="D670" s="3">
        <v>18.992000000000001</v>
      </c>
      <c r="E670" s="3">
        <v>1.72</v>
      </c>
      <c r="F670">
        <v>0</v>
      </c>
      <c r="G670">
        <v>-14</v>
      </c>
      <c r="H670" s="6">
        <v>0</v>
      </c>
    </row>
    <row r="671" spans="1:8" x14ac:dyDescent="0.2">
      <c r="A671" t="s">
        <v>83</v>
      </c>
      <c r="B671">
        <v>2008</v>
      </c>
      <c r="C671">
        <v>8</v>
      </c>
      <c r="D671" s="3">
        <v>15.6747</v>
      </c>
      <c r="E671" s="3">
        <v>-2.5099999999999998</v>
      </c>
      <c r="F671">
        <v>0</v>
      </c>
      <c r="G671">
        <v>-5</v>
      </c>
      <c r="H671" s="6">
        <v>0</v>
      </c>
    </row>
    <row r="672" spans="1:8" x14ac:dyDescent="0.2">
      <c r="A672" t="s">
        <v>387</v>
      </c>
      <c r="B672">
        <v>2008</v>
      </c>
      <c r="C672">
        <v>8</v>
      </c>
      <c r="D672" s="3">
        <v>15.328200000000001</v>
      </c>
      <c r="E672" s="3">
        <v>0.38</v>
      </c>
      <c r="F672">
        <v>1</v>
      </c>
      <c r="G672">
        <v>4</v>
      </c>
      <c r="H672" s="6">
        <v>7</v>
      </c>
    </row>
    <row r="673" spans="1:8" x14ac:dyDescent="0.2">
      <c r="A673" t="s">
        <v>20</v>
      </c>
      <c r="B673">
        <v>2008</v>
      </c>
      <c r="C673">
        <v>8</v>
      </c>
      <c r="D673" s="3">
        <v>13.33</v>
      </c>
      <c r="E673" s="3">
        <v>1.8</v>
      </c>
      <c r="F673">
        <v>1</v>
      </c>
      <c r="G673">
        <v>-6</v>
      </c>
      <c r="H673" s="6">
        <v>13</v>
      </c>
    </row>
    <row r="674" spans="1:8" x14ac:dyDescent="0.2">
      <c r="A674" t="s">
        <v>222</v>
      </c>
      <c r="B674">
        <v>2008</v>
      </c>
      <c r="C674">
        <v>9</v>
      </c>
      <c r="D674" s="3">
        <v>19.2193</v>
      </c>
      <c r="E674" s="3">
        <v>-0.26</v>
      </c>
      <c r="F674">
        <v>1</v>
      </c>
      <c r="G674">
        <v>3</v>
      </c>
      <c r="H674" s="6">
        <v>5</v>
      </c>
    </row>
    <row r="675" spans="1:8" x14ac:dyDescent="0.2">
      <c r="A675" t="s">
        <v>44</v>
      </c>
      <c r="B675">
        <v>2008</v>
      </c>
      <c r="C675">
        <v>9</v>
      </c>
      <c r="D675" s="3">
        <v>16.287299999999998</v>
      </c>
      <c r="E675" s="3">
        <v>1.53</v>
      </c>
      <c r="F675">
        <v>0</v>
      </c>
      <c r="G675">
        <v>-7</v>
      </c>
      <c r="H675" s="6">
        <v>0</v>
      </c>
    </row>
    <row r="676" spans="1:8" x14ac:dyDescent="0.2">
      <c r="A676" t="s">
        <v>462</v>
      </c>
      <c r="B676">
        <v>2008</v>
      </c>
      <c r="C676">
        <v>9</v>
      </c>
      <c r="D676" s="3">
        <v>14.536300000000001</v>
      </c>
      <c r="E676" s="3">
        <v>2.3199999999999998</v>
      </c>
      <c r="F676">
        <v>1</v>
      </c>
      <c r="G676">
        <v>-21</v>
      </c>
      <c r="H676" s="6">
        <v>14</v>
      </c>
    </row>
    <row r="677" spans="1:8" x14ac:dyDescent="0.2">
      <c r="A677" t="s">
        <v>463</v>
      </c>
      <c r="B677">
        <v>2008</v>
      </c>
      <c r="C677">
        <v>9</v>
      </c>
      <c r="D677" s="3">
        <v>13.4892</v>
      </c>
      <c r="E677" s="3">
        <v>1.31</v>
      </c>
      <c r="F677">
        <v>0</v>
      </c>
      <c r="G677">
        <v>-13</v>
      </c>
      <c r="H677" s="6">
        <v>0</v>
      </c>
    </row>
    <row r="678" spans="1:8" x14ac:dyDescent="0.2">
      <c r="A678" t="s">
        <v>51</v>
      </c>
      <c r="B678">
        <v>2008</v>
      </c>
      <c r="C678">
        <v>10</v>
      </c>
      <c r="D678" s="3">
        <v>20.017900000000001</v>
      </c>
      <c r="E678" s="3">
        <v>12.21</v>
      </c>
      <c r="F678">
        <v>3</v>
      </c>
      <c r="G678">
        <v>25</v>
      </c>
      <c r="H678" s="6">
        <f>(27/3)</f>
        <v>9</v>
      </c>
    </row>
    <row r="679" spans="1:8" x14ac:dyDescent="0.2">
      <c r="A679" t="s">
        <v>21</v>
      </c>
      <c r="B679">
        <v>2008</v>
      </c>
      <c r="C679">
        <v>10</v>
      </c>
      <c r="D679" s="3">
        <v>19.71</v>
      </c>
      <c r="E679" s="3">
        <v>10.220000000000001</v>
      </c>
      <c r="F679">
        <v>0</v>
      </c>
      <c r="G679">
        <v>-10</v>
      </c>
      <c r="H679" s="6">
        <v>0</v>
      </c>
    </row>
    <row r="680" spans="1:8" x14ac:dyDescent="0.2">
      <c r="A680" t="s">
        <v>41</v>
      </c>
      <c r="B680">
        <v>2008</v>
      </c>
      <c r="C680">
        <v>10</v>
      </c>
      <c r="D680" s="3">
        <v>15.427</v>
      </c>
      <c r="E680" s="3">
        <v>4.01</v>
      </c>
      <c r="F680">
        <v>0</v>
      </c>
      <c r="G680">
        <v>-14</v>
      </c>
      <c r="H680" s="6">
        <v>0</v>
      </c>
    </row>
    <row r="681" spans="1:8" x14ac:dyDescent="0.2">
      <c r="A681" t="s">
        <v>464</v>
      </c>
      <c r="B681">
        <v>2008</v>
      </c>
      <c r="C681">
        <v>10</v>
      </c>
      <c r="D681" s="3">
        <v>12.3042</v>
      </c>
      <c r="E681" s="3">
        <v>2.42</v>
      </c>
      <c r="F681">
        <v>0</v>
      </c>
      <c r="G681">
        <v>-20</v>
      </c>
      <c r="H681" s="6">
        <v>0</v>
      </c>
    </row>
    <row r="682" spans="1:8" x14ac:dyDescent="0.2">
      <c r="A682" t="s">
        <v>16</v>
      </c>
      <c r="B682">
        <v>2008</v>
      </c>
      <c r="C682">
        <v>11</v>
      </c>
      <c r="D682" s="3">
        <v>18.510000000000002</v>
      </c>
      <c r="E682" s="3">
        <v>-0.06</v>
      </c>
      <c r="F682">
        <v>1</v>
      </c>
      <c r="G682">
        <v>-4</v>
      </c>
      <c r="H682" s="6">
        <v>13</v>
      </c>
    </row>
    <row r="683" spans="1:8" x14ac:dyDescent="0.2">
      <c r="A683" t="s">
        <v>68</v>
      </c>
      <c r="B683">
        <v>2008</v>
      </c>
      <c r="C683">
        <v>11</v>
      </c>
      <c r="D683" s="3">
        <v>15.053800000000001</v>
      </c>
      <c r="E683" s="3">
        <v>-2.82</v>
      </c>
      <c r="F683">
        <v>0</v>
      </c>
      <c r="G683">
        <v>-11</v>
      </c>
      <c r="H683" s="6">
        <v>0</v>
      </c>
    </row>
    <row r="684" spans="1:8" x14ac:dyDescent="0.2">
      <c r="A684" t="s">
        <v>465</v>
      </c>
      <c r="B684">
        <v>2008</v>
      </c>
      <c r="C684">
        <v>11</v>
      </c>
      <c r="D684" s="3">
        <v>14.2597</v>
      </c>
      <c r="E684" s="3">
        <v>0.44</v>
      </c>
      <c r="F684">
        <v>0</v>
      </c>
      <c r="G684">
        <v>-8</v>
      </c>
      <c r="H684" s="6">
        <v>0</v>
      </c>
    </row>
    <row r="685" spans="1:8" x14ac:dyDescent="0.2">
      <c r="A685" t="s">
        <v>66</v>
      </c>
      <c r="B685">
        <v>2008</v>
      </c>
      <c r="C685">
        <v>11</v>
      </c>
      <c r="D685" s="3">
        <v>9.4248999999999992</v>
      </c>
      <c r="E685" s="3">
        <v>0.91</v>
      </c>
      <c r="F685">
        <v>0</v>
      </c>
      <c r="G685">
        <v>-8</v>
      </c>
      <c r="H685" s="6">
        <v>0</v>
      </c>
    </row>
    <row r="686" spans="1:8" x14ac:dyDescent="0.2">
      <c r="A686" t="s">
        <v>61</v>
      </c>
      <c r="B686">
        <v>2008</v>
      </c>
      <c r="C686">
        <v>12</v>
      </c>
      <c r="D686" s="3">
        <v>13.8788</v>
      </c>
      <c r="E686" s="3">
        <v>1.46</v>
      </c>
      <c r="F686">
        <v>2</v>
      </c>
      <c r="G686">
        <v>1</v>
      </c>
      <c r="H686" s="6">
        <f>(11/2)</f>
        <v>5.5</v>
      </c>
    </row>
    <row r="687" spans="1:8" x14ac:dyDescent="0.2">
      <c r="A687" t="s">
        <v>34</v>
      </c>
      <c r="B687">
        <v>2008</v>
      </c>
      <c r="C687">
        <v>12</v>
      </c>
      <c r="D687" s="3">
        <v>12.6205</v>
      </c>
      <c r="E687" s="3">
        <v>-0.28999999999999998</v>
      </c>
      <c r="F687">
        <v>2</v>
      </c>
      <c r="G687">
        <v>3</v>
      </c>
      <c r="H687" s="6">
        <f>(18/2)</f>
        <v>9</v>
      </c>
    </row>
    <row r="688" spans="1:8" x14ac:dyDescent="0.2">
      <c r="A688" t="s">
        <v>35</v>
      </c>
      <c r="B688">
        <v>2008</v>
      </c>
      <c r="C688">
        <v>12</v>
      </c>
      <c r="D688" s="3">
        <v>12.154400000000001</v>
      </c>
      <c r="E688" s="3">
        <v>4.28</v>
      </c>
      <c r="F688">
        <v>0</v>
      </c>
      <c r="G688">
        <v>-11</v>
      </c>
      <c r="H688" s="6">
        <v>0</v>
      </c>
    </row>
    <row r="689" spans="1:8" x14ac:dyDescent="0.2">
      <c r="A689" t="s">
        <v>223</v>
      </c>
      <c r="B689">
        <v>2008</v>
      </c>
      <c r="C689">
        <v>12</v>
      </c>
      <c r="D689" s="3">
        <v>10.0921</v>
      </c>
      <c r="E689" s="3">
        <v>3.55</v>
      </c>
      <c r="F689">
        <v>0</v>
      </c>
      <c r="G689">
        <v>-18</v>
      </c>
      <c r="H689" s="6">
        <v>0</v>
      </c>
    </row>
    <row r="690" spans="1:8" x14ac:dyDescent="0.2">
      <c r="A690" t="s">
        <v>466</v>
      </c>
      <c r="B690">
        <v>2008</v>
      </c>
      <c r="C690">
        <v>13</v>
      </c>
      <c r="D690" s="3">
        <v>10.9544</v>
      </c>
      <c r="E690" s="3">
        <v>7.59</v>
      </c>
      <c r="F690">
        <v>0</v>
      </c>
      <c r="G690">
        <v>-19</v>
      </c>
      <c r="H690" s="6">
        <v>0</v>
      </c>
    </row>
    <row r="691" spans="1:8" x14ac:dyDescent="0.2">
      <c r="A691" t="s">
        <v>468</v>
      </c>
      <c r="B691">
        <v>2008</v>
      </c>
      <c r="C691">
        <v>13</v>
      </c>
      <c r="D691" s="3">
        <v>7.1380999999999997</v>
      </c>
      <c r="E691" s="3">
        <v>7.56</v>
      </c>
      <c r="F691">
        <v>0</v>
      </c>
      <c r="G691">
        <v>-31</v>
      </c>
      <c r="H691" s="6">
        <v>0</v>
      </c>
    </row>
    <row r="692" spans="1:8" x14ac:dyDescent="0.2">
      <c r="A692" t="s">
        <v>309</v>
      </c>
      <c r="B692">
        <v>2008</v>
      </c>
      <c r="C692">
        <v>13</v>
      </c>
      <c r="D692" s="3">
        <v>6.6727999999999996</v>
      </c>
      <c r="E692" s="3">
        <v>3.56</v>
      </c>
      <c r="F692">
        <v>1</v>
      </c>
      <c r="G692">
        <v>9</v>
      </c>
      <c r="H692" s="6">
        <v>21</v>
      </c>
    </row>
    <row r="693" spans="1:8" x14ac:dyDescent="0.2">
      <c r="A693" t="s">
        <v>467</v>
      </c>
      <c r="B693">
        <v>2008</v>
      </c>
      <c r="C693">
        <v>13</v>
      </c>
      <c r="D693" s="3">
        <v>4.4062000000000001</v>
      </c>
      <c r="E693" s="3">
        <v>2.39</v>
      </c>
      <c r="F693">
        <v>1</v>
      </c>
      <c r="G693">
        <v>-8</v>
      </c>
      <c r="H693" s="6">
        <v>1</v>
      </c>
    </row>
    <row r="694" spans="1:8" x14ac:dyDescent="0.2">
      <c r="A694" t="s">
        <v>469</v>
      </c>
      <c r="B694">
        <v>2008</v>
      </c>
      <c r="C694">
        <v>14</v>
      </c>
      <c r="D694" s="3">
        <v>8.6334</v>
      </c>
      <c r="E694" s="3">
        <v>-3.05</v>
      </c>
      <c r="F694">
        <v>0</v>
      </c>
      <c r="G694">
        <v>-15</v>
      </c>
      <c r="H694" s="6">
        <v>0</v>
      </c>
    </row>
    <row r="695" spans="1:8" x14ac:dyDescent="0.2">
      <c r="A695" t="s">
        <v>227</v>
      </c>
      <c r="B695">
        <v>2008</v>
      </c>
      <c r="C695">
        <v>14</v>
      </c>
      <c r="D695" s="3">
        <v>7.7088000000000001</v>
      </c>
      <c r="E695" s="3">
        <v>-1.66</v>
      </c>
      <c r="F695">
        <v>0</v>
      </c>
      <c r="G695">
        <v>-12</v>
      </c>
      <c r="H695" s="6">
        <v>0</v>
      </c>
    </row>
    <row r="696" spans="1:8" x14ac:dyDescent="0.2">
      <c r="A696" t="s">
        <v>308</v>
      </c>
      <c r="B696">
        <v>2008</v>
      </c>
      <c r="C696">
        <v>14</v>
      </c>
      <c r="D696" s="3">
        <v>5.0284000000000004</v>
      </c>
      <c r="E696" s="3">
        <v>-3.45</v>
      </c>
      <c r="F696">
        <v>0</v>
      </c>
      <c r="G696">
        <v>-24</v>
      </c>
      <c r="H696" s="6">
        <v>0</v>
      </c>
    </row>
    <row r="697" spans="1:8" x14ac:dyDescent="0.2">
      <c r="A697" t="s">
        <v>470</v>
      </c>
      <c r="B697">
        <v>2008</v>
      </c>
      <c r="C697">
        <v>14</v>
      </c>
      <c r="D697" s="3">
        <v>4.0293000000000001</v>
      </c>
      <c r="E697" s="3">
        <v>-3.95</v>
      </c>
      <c r="F697">
        <v>0</v>
      </c>
      <c r="G697">
        <v>-18</v>
      </c>
      <c r="H697" s="6">
        <v>0</v>
      </c>
    </row>
    <row r="698" spans="1:8" x14ac:dyDescent="0.2">
      <c r="A698" t="s">
        <v>471</v>
      </c>
      <c r="B698">
        <v>2008</v>
      </c>
      <c r="C698">
        <v>15</v>
      </c>
      <c r="D698" s="3">
        <v>3.9870000000000001</v>
      </c>
      <c r="E698" s="3">
        <v>0.47</v>
      </c>
      <c r="F698">
        <v>0</v>
      </c>
      <c r="G698">
        <v>-19</v>
      </c>
      <c r="H698" s="6">
        <v>0</v>
      </c>
    </row>
    <row r="699" spans="1:8" x14ac:dyDescent="0.2">
      <c r="A699" t="s">
        <v>42</v>
      </c>
      <c r="B699">
        <v>2008</v>
      </c>
      <c r="C699">
        <v>15</v>
      </c>
      <c r="D699" s="3">
        <v>2.4765999999999999</v>
      </c>
      <c r="E699" s="3">
        <v>-0.52</v>
      </c>
      <c r="F699">
        <v>0</v>
      </c>
      <c r="G699">
        <v>-1</v>
      </c>
      <c r="H699" s="6">
        <v>0</v>
      </c>
    </row>
    <row r="700" spans="1:8" x14ac:dyDescent="0.2">
      <c r="A700" t="s">
        <v>391</v>
      </c>
      <c r="B700">
        <v>2008</v>
      </c>
      <c r="C700">
        <v>15</v>
      </c>
      <c r="D700" s="3">
        <v>1.7238</v>
      </c>
      <c r="E700" s="3">
        <v>-3.97</v>
      </c>
      <c r="F700">
        <v>0</v>
      </c>
      <c r="G700">
        <v>-15</v>
      </c>
      <c r="H700" s="6">
        <v>0</v>
      </c>
    </row>
    <row r="701" spans="1:8" x14ac:dyDescent="0.2">
      <c r="A701" t="s">
        <v>472</v>
      </c>
      <c r="B701">
        <v>2008</v>
      </c>
      <c r="C701">
        <v>15</v>
      </c>
      <c r="D701" s="3">
        <v>-0.16919999999999999</v>
      </c>
      <c r="E701" s="3">
        <v>3.86</v>
      </c>
      <c r="F701">
        <v>0</v>
      </c>
      <c r="G701">
        <v>-20</v>
      </c>
      <c r="H701" s="6">
        <v>0</v>
      </c>
    </row>
    <row r="702" spans="1:8" x14ac:dyDescent="0.2">
      <c r="A702" t="s">
        <v>388</v>
      </c>
      <c r="B702">
        <v>2008</v>
      </c>
      <c r="C702">
        <v>16</v>
      </c>
      <c r="D702" s="3">
        <v>5.6898</v>
      </c>
      <c r="E702" s="3">
        <v>1.56</v>
      </c>
      <c r="F702">
        <v>0</v>
      </c>
      <c r="G702">
        <v>-24</v>
      </c>
      <c r="H702" s="6">
        <v>0</v>
      </c>
    </row>
    <row r="703" spans="1:8" x14ac:dyDescent="0.2">
      <c r="A703" t="s">
        <v>473</v>
      </c>
      <c r="B703">
        <v>2008</v>
      </c>
      <c r="C703">
        <v>16</v>
      </c>
      <c r="D703" s="3">
        <v>-0.998</v>
      </c>
      <c r="E703" s="3">
        <v>0</v>
      </c>
      <c r="F703">
        <v>0</v>
      </c>
      <c r="G703">
        <v>-39</v>
      </c>
      <c r="H703" s="6">
        <v>0</v>
      </c>
    </row>
    <row r="704" spans="1:8" x14ac:dyDescent="0.2">
      <c r="A704" t="s">
        <v>474</v>
      </c>
      <c r="B704">
        <v>2008</v>
      </c>
      <c r="C704">
        <v>16</v>
      </c>
      <c r="D704" s="3">
        <v>-1.8802000000000001</v>
      </c>
      <c r="E704" s="3">
        <v>-5.21</v>
      </c>
      <c r="F704">
        <v>0</v>
      </c>
      <c r="G704">
        <v>-24</v>
      </c>
      <c r="H704" s="6">
        <v>0</v>
      </c>
    </row>
    <row r="705" spans="1:8" x14ac:dyDescent="0.2">
      <c r="A705" t="s">
        <v>475</v>
      </c>
      <c r="B705">
        <v>2008</v>
      </c>
      <c r="C705">
        <v>16</v>
      </c>
      <c r="D705" s="3">
        <v>-14.6286</v>
      </c>
      <c r="E705" s="3">
        <v>9.43</v>
      </c>
      <c r="F705">
        <v>0</v>
      </c>
      <c r="G705">
        <v>-41</v>
      </c>
      <c r="H705" s="6">
        <v>0</v>
      </c>
    </row>
    <row r="706" spans="1:8" x14ac:dyDescent="0.2">
      <c r="A706" t="s">
        <v>29</v>
      </c>
      <c r="B706">
        <v>2007</v>
      </c>
      <c r="C706">
        <v>1</v>
      </c>
      <c r="D706" s="3">
        <v>31.151199999999999</v>
      </c>
      <c r="E706" s="3">
        <v>5.4</v>
      </c>
      <c r="F706">
        <v>3</v>
      </c>
      <c r="G706">
        <v>33</v>
      </c>
      <c r="H706" s="6">
        <f>(45/3)</f>
        <v>15</v>
      </c>
    </row>
    <row r="707" spans="1:8" x14ac:dyDescent="0.2">
      <c r="A707" t="s">
        <v>9</v>
      </c>
      <c r="B707">
        <v>2007</v>
      </c>
      <c r="C707">
        <v>1</v>
      </c>
      <c r="D707" s="3">
        <v>28.25</v>
      </c>
      <c r="E707" s="3">
        <v>-3.15</v>
      </c>
      <c r="F707">
        <v>6</v>
      </c>
      <c r="G707">
        <v>85</v>
      </c>
      <c r="H707" s="6">
        <f>(85/6)</f>
        <v>14.166666666666666</v>
      </c>
    </row>
    <row r="708" spans="1:8" x14ac:dyDescent="0.2">
      <c r="A708" t="s">
        <v>5</v>
      </c>
      <c r="B708">
        <v>2007</v>
      </c>
      <c r="C708">
        <v>1</v>
      </c>
      <c r="D708" s="3">
        <v>28.154599999999999</v>
      </c>
      <c r="E708" s="3">
        <v>3.04</v>
      </c>
      <c r="F708">
        <v>5</v>
      </c>
      <c r="G708">
        <v>43</v>
      </c>
      <c r="H708" s="6">
        <f>(52/5)</f>
        <v>10.4</v>
      </c>
    </row>
    <row r="709" spans="1:8" x14ac:dyDescent="0.2">
      <c r="A709" t="s">
        <v>4</v>
      </c>
      <c r="B709">
        <v>2007</v>
      </c>
      <c r="C709">
        <v>1</v>
      </c>
      <c r="D709" s="3">
        <v>27.616099999999999</v>
      </c>
      <c r="E709" s="3">
        <v>2.2599999999999998</v>
      </c>
      <c r="F709">
        <v>3</v>
      </c>
      <c r="G709">
        <v>42</v>
      </c>
      <c r="H709" s="6">
        <f>(55/3)</f>
        <v>18.333333333333332</v>
      </c>
    </row>
    <row r="710" spans="1:8" x14ac:dyDescent="0.2">
      <c r="A710" t="s">
        <v>7</v>
      </c>
      <c r="B710">
        <v>2007</v>
      </c>
      <c r="C710">
        <v>2</v>
      </c>
      <c r="D710" s="3">
        <v>27.316299999999998</v>
      </c>
      <c r="E710" s="3">
        <v>1.8</v>
      </c>
      <c r="F710">
        <v>4</v>
      </c>
      <c r="G710">
        <v>38</v>
      </c>
      <c r="H710" s="6">
        <f>(45/4)</f>
        <v>11.25</v>
      </c>
    </row>
    <row r="711" spans="1:8" x14ac:dyDescent="0.2">
      <c r="A711" t="s">
        <v>17</v>
      </c>
      <c r="B711">
        <v>2007</v>
      </c>
      <c r="C711">
        <v>2</v>
      </c>
      <c r="D711" s="3">
        <v>25.459499999999998</v>
      </c>
      <c r="E711" s="3">
        <v>2.2000000000000002</v>
      </c>
      <c r="F711">
        <v>1</v>
      </c>
      <c r="G711">
        <v>7</v>
      </c>
      <c r="H711" s="6">
        <v>13</v>
      </c>
    </row>
    <row r="712" spans="1:8" x14ac:dyDescent="0.2">
      <c r="A712" t="s">
        <v>24</v>
      </c>
      <c r="B712">
        <v>2007</v>
      </c>
      <c r="C712">
        <v>2</v>
      </c>
      <c r="D712" s="3">
        <v>24.700600000000001</v>
      </c>
      <c r="E712" s="3">
        <v>9.25</v>
      </c>
      <c r="F712">
        <v>4</v>
      </c>
      <c r="G712">
        <v>45</v>
      </c>
      <c r="H712" s="6">
        <f>(55/4)</f>
        <v>13.75</v>
      </c>
    </row>
    <row r="713" spans="1:8" x14ac:dyDescent="0.2">
      <c r="A713" t="s">
        <v>22</v>
      </c>
      <c r="B713">
        <v>2007</v>
      </c>
      <c r="C713">
        <v>2</v>
      </c>
      <c r="D713" s="3">
        <v>24.240400000000001</v>
      </c>
      <c r="E713" s="3">
        <v>5.51</v>
      </c>
      <c r="F713">
        <v>3</v>
      </c>
      <c r="G713">
        <v>16</v>
      </c>
      <c r="H713" s="6">
        <f>(32/3)</f>
        <v>10.666666666666666</v>
      </c>
    </row>
    <row r="714" spans="1:8" x14ac:dyDescent="0.2">
      <c r="A714" t="s">
        <v>222</v>
      </c>
      <c r="B714">
        <v>2007</v>
      </c>
      <c r="C714">
        <v>3</v>
      </c>
      <c r="D714" s="3">
        <v>26.7028</v>
      </c>
      <c r="E714" s="3">
        <v>-1.47</v>
      </c>
      <c r="F714">
        <v>2</v>
      </c>
      <c r="G714">
        <v>18</v>
      </c>
      <c r="H714" s="6">
        <f>(19/2)</f>
        <v>9.5</v>
      </c>
    </row>
    <row r="715" spans="1:8" x14ac:dyDescent="0.2">
      <c r="A715" t="s">
        <v>28</v>
      </c>
      <c r="B715">
        <v>2007</v>
      </c>
      <c r="C715">
        <v>3</v>
      </c>
      <c r="D715" s="3">
        <v>22.324999999999999</v>
      </c>
      <c r="E715" s="3">
        <v>3.44</v>
      </c>
      <c r="F715">
        <v>2</v>
      </c>
      <c r="G715">
        <v>17</v>
      </c>
      <c r="H715" s="6">
        <f>(26/2)</f>
        <v>13</v>
      </c>
    </row>
    <row r="716" spans="1:8" x14ac:dyDescent="0.2">
      <c r="A716" t="s">
        <v>44</v>
      </c>
      <c r="B716">
        <v>2007</v>
      </c>
      <c r="C716">
        <v>3</v>
      </c>
      <c r="D716" s="3">
        <v>19.334299999999999</v>
      </c>
      <c r="E716" s="3">
        <v>-4.7300000000000004</v>
      </c>
      <c r="F716">
        <v>3</v>
      </c>
      <c r="G716">
        <v>12</v>
      </c>
      <c r="H716" s="6">
        <f>(20/3)</f>
        <v>6.666666666666667</v>
      </c>
    </row>
    <row r="717" spans="1:8" x14ac:dyDescent="0.2">
      <c r="A717" t="s">
        <v>460</v>
      </c>
      <c r="B717">
        <v>2007</v>
      </c>
      <c r="C717">
        <v>3</v>
      </c>
      <c r="D717" s="3">
        <v>17.517299999999999</v>
      </c>
      <c r="E717" s="3">
        <v>-3.57</v>
      </c>
      <c r="F717">
        <v>1</v>
      </c>
      <c r="G717">
        <v>12</v>
      </c>
      <c r="H717" s="6">
        <v>16</v>
      </c>
    </row>
    <row r="718" spans="1:8" x14ac:dyDescent="0.2">
      <c r="A718" t="s">
        <v>303</v>
      </c>
      <c r="B718">
        <v>2007</v>
      </c>
      <c r="C718">
        <v>4</v>
      </c>
      <c r="D718" s="3">
        <v>21.8932</v>
      </c>
      <c r="E718" s="3">
        <v>0.75</v>
      </c>
      <c r="F718">
        <v>1</v>
      </c>
      <c r="G718">
        <v>9</v>
      </c>
      <c r="H718" s="6">
        <v>12</v>
      </c>
    </row>
    <row r="719" spans="1:8" x14ac:dyDescent="0.2">
      <c r="A719" t="s">
        <v>78</v>
      </c>
      <c r="B719">
        <v>2007</v>
      </c>
      <c r="C719">
        <v>4</v>
      </c>
      <c r="D719" s="3">
        <v>20.1236</v>
      </c>
      <c r="E719" s="3">
        <v>0.12</v>
      </c>
      <c r="F719">
        <v>1</v>
      </c>
      <c r="G719">
        <v>-7</v>
      </c>
      <c r="H719" s="6">
        <v>12</v>
      </c>
    </row>
    <row r="720" spans="1:8" x14ac:dyDescent="0.2">
      <c r="A720" t="s">
        <v>552</v>
      </c>
      <c r="B720">
        <v>2007</v>
      </c>
      <c r="C720">
        <v>4</v>
      </c>
      <c r="D720" s="3">
        <v>19.895099999999999</v>
      </c>
      <c r="E720" s="3">
        <v>5.83</v>
      </c>
      <c r="F720">
        <v>2</v>
      </c>
      <c r="G720">
        <v>22</v>
      </c>
      <c r="H720" s="6">
        <f>(25/2)</f>
        <v>12.5</v>
      </c>
    </row>
    <row r="721" spans="1:8" x14ac:dyDescent="0.2">
      <c r="A721" t="s">
        <v>75</v>
      </c>
      <c r="B721">
        <v>2007</v>
      </c>
      <c r="C721">
        <v>4</v>
      </c>
      <c r="D721" s="3">
        <v>13.9564</v>
      </c>
      <c r="E721" s="3">
        <v>-0.52</v>
      </c>
      <c r="F721">
        <v>1</v>
      </c>
      <c r="G721">
        <v>24</v>
      </c>
      <c r="H721" s="6">
        <v>27</v>
      </c>
    </row>
    <row r="722" spans="1:8" x14ac:dyDescent="0.2">
      <c r="A722" t="s">
        <v>23</v>
      </c>
      <c r="B722">
        <v>2007</v>
      </c>
      <c r="C722">
        <v>5</v>
      </c>
      <c r="D722" s="3">
        <v>20.474799999999998</v>
      </c>
      <c r="E722" s="3">
        <v>8.59</v>
      </c>
      <c r="F722">
        <v>2</v>
      </c>
      <c r="G722">
        <v>6</v>
      </c>
      <c r="H722" s="6">
        <f>(14/2)</f>
        <v>7</v>
      </c>
    </row>
    <row r="723" spans="1:8" x14ac:dyDescent="0.2">
      <c r="A723" t="s">
        <v>537</v>
      </c>
      <c r="B723">
        <v>2007</v>
      </c>
      <c r="C723">
        <v>5</v>
      </c>
      <c r="D723" s="3">
        <v>17.543600000000001</v>
      </c>
      <c r="E723" s="3">
        <v>1.45</v>
      </c>
      <c r="F723">
        <v>1</v>
      </c>
      <c r="G723">
        <v>-13</v>
      </c>
      <c r="H723" s="6">
        <v>2</v>
      </c>
    </row>
    <row r="724" spans="1:8" x14ac:dyDescent="0.2">
      <c r="A724" t="s">
        <v>225</v>
      </c>
      <c r="B724">
        <v>2007</v>
      </c>
      <c r="C724">
        <v>5</v>
      </c>
      <c r="D724" s="3">
        <v>16.177900000000001</v>
      </c>
      <c r="E724" s="3">
        <v>4.8600000000000003</v>
      </c>
      <c r="F724">
        <v>2</v>
      </c>
      <c r="G724">
        <v>37</v>
      </c>
      <c r="H724" s="6">
        <f>(38/2)</f>
        <v>19</v>
      </c>
    </row>
    <row r="725" spans="1:8" x14ac:dyDescent="0.2">
      <c r="A725" t="s">
        <v>384</v>
      </c>
      <c r="B725">
        <v>2007</v>
      </c>
      <c r="C725">
        <v>5</v>
      </c>
      <c r="D725" s="3">
        <v>14.0654</v>
      </c>
      <c r="E725" s="3">
        <v>-2.09</v>
      </c>
      <c r="F725">
        <v>2</v>
      </c>
      <c r="G725">
        <v>26</v>
      </c>
      <c r="H725" s="6">
        <f>(36/2)</f>
        <v>18</v>
      </c>
    </row>
    <row r="726" spans="1:8" x14ac:dyDescent="0.2">
      <c r="A726" t="s">
        <v>6</v>
      </c>
      <c r="B726">
        <v>2007</v>
      </c>
      <c r="C726">
        <v>6</v>
      </c>
      <c r="D726" s="3">
        <v>23.1007</v>
      </c>
      <c r="E726" s="3">
        <v>7.57</v>
      </c>
      <c r="F726">
        <v>0</v>
      </c>
      <c r="G726">
        <v>-2</v>
      </c>
      <c r="H726" s="6">
        <v>0</v>
      </c>
    </row>
    <row r="727" spans="1:8" x14ac:dyDescent="0.2">
      <c r="A727" t="s">
        <v>26</v>
      </c>
      <c r="B727">
        <v>2007</v>
      </c>
      <c r="C727">
        <v>6</v>
      </c>
      <c r="D727" s="3">
        <v>20.302399999999999</v>
      </c>
      <c r="E727" s="3">
        <v>-8.1</v>
      </c>
      <c r="F727">
        <v>0</v>
      </c>
      <c r="G727">
        <v>-10</v>
      </c>
      <c r="H727" s="6">
        <v>0</v>
      </c>
    </row>
    <row r="728" spans="1:8" x14ac:dyDescent="0.2">
      <c r="A728" t="s">
        <v>1</v>
      </c>
      <c r="B728">
        <v>2007</v>
      </c>
      <c r="C728">
        <v>6</v>
      </c>
      <c r="D728" s="3">
        <v>19.0092</v>
      </c>
      <c r="E728" s="3">
        <v>1.34</v>
      </c>
      <c r="F728">
        <v>1</v>
      </c>
      <c r="G728">
        <v>17</v>
      </c>
      <c r="H728" s="6">
        <v>20</v>
      </c>
    </row>
    <row r="729" spans="1:8" x14ac:dyDescent="0.2">
      <c r="A729" t="s">
        <v>70</v>
      </c>
      <c r="B729">
        <v>2007</v>
      </c>
      <c r="C729">
        <v>6</v>
      </c>
      <c r="D729" s="3">
        <v>13.414</v>
      </c>
      <c r="E729" s="3">
        <v>-0.16</v>
      </c>
      <c r="F729">
        <v>2</v>
      </c>
      <c r="G729">
        <v>36</v>
      </c>
      <c r="H729" s="6">
        <f>(37/2)</f>
        <v>18.5</v>
      </c>
    </row>
    <row r="730" spans="1:8" x14ac:dyDescent="0.2">
      <c r="A730" t="s">
        <v>2</v>
      </c>
      <c r="B730">
        <v>2007</v>
      </c>
      <c r="C730">
        <v>7</v>
      </c>
      <c r="D730" s="3">
        <v>20.677399999999999</v>
      </c>
      <c r="E730" s="3">
        <v>3.83</v>
      </c>
      <c r="F730">
        <v>1</v>
      </c>
      <c r="G730">
        <v>8</v>
      </c>
      <c r="H730" s="6">
        <v>13</v>
      </c>
    </row>
    <row r="731" spans="1:8" x14ac:dyDescent="0.2">
      <c r="A731" t="s">
        <v>538</v>
      </c>
      <c r="B731">
        <v>2007</v>
      </c>
      <c r="C731">
        <v>7</v>
      </c>
      <c r="D731" s="3">
        <v>16.003699999999998</v>
      </c>
      <c r="E731" s="3">
        <v>2.5099999999999998</v>
      </c>
      <c r="F731">
        <v>1</v>
      </c>
      <c r="G731">
        <v>-10</v>
      </c>
      <c r="H731" s="6">
        <v>6</v>
      </c>
    </row>
    <row r="732" spans="1:8" x14ac:dyDescent="0.2">
      <c r="A732" t="s">
        <v>382</v>
      </c>
      <c r="B732">
        <v>2007</v>
      </c>
      <c r="C732">
        <v>7</v>
      </c>
      <c r="D732" s="3">
        <v>15.5296</v>
      </c>
      <c r="E732" s="3">
        <v>1.62</v>
      </c>
      <c r="F732">
        <v>1</v>
      </c>
      <c r="G732">
        <v>2</v>
      </c>
      <c r="H732" s="6">
        <v>9</v>
      </c>
    </row>
    <row r="733" spans="1:8" x14ac:dyDescent="0.2">
      <c r="A733" t="s">
        <v>20</v>
      </c>
      <c r="B733">
        <v>2007</v>
      </c>
      <c r="C733">
        <v>7</v>
      </c>
      <c r="D733" s="3">
        <v>15.331300000000001</v>
      </c>
      <c r="E733" s="3">
        <v>3.7</v>
      </c>
      <c r="F733">
        <v>2</v>
      </c>
      <c r="G733">
        <v>6</v>
      </c>
      <c r="H733" s="6">
        <f>(10/2)</f>
        <v>5</v>
      </c>
    </row>
    <row r="734" spans="1:8" x14ac:dyDescent="0.2">
      <c r="A734" t="s">
        <v>66</v>
      </c>
      <c r="B734">
        <v>2007</v>
      </c>
      <c r="C734">
        <v>8</v>
      </c>
      <c r="D734" s="3">
        <v>20.5228</v>
      </c>
      <c r="E734" s="3">
        <v>11.2</v>
      </c>
      <c r="F734">
        <v>1</v>
      </c>
      <c r="G734">
        <v>-3</v>
      </c>
      <c r="H734" s="6">
        <v>9</v>
      </c>
    </row>
    <row r="735" spans="1:8" x14ac:dyDescent="0.2">
      <c r="A735" t="s">
        <v>21</v>
      </c>
      <c r="B735">
        <v>2007</v>
      </c>
      <c r="C735">
        <v>8</v>
      </c>
      <c r="D735" s="3">
        <v>18.765899999999998</v>
      </c>
      <c r="E735" s="3">
        <v>12.27</v>
      </c>
      <c r="F735">
        <v>0</v>
      </c>
      <c r="G735">
        <v>-9</v>
      </c>
      <c r="H735" s="6">
        <v>0</v>
      </c>
    </row>
    <row r="736" spans="1:8" x14ac:dyDescent="0.2">
      <c r="A736" t="s">
        <v>12</v>
      </c>
      <c r="B736">
        <v>2007</v>
      </c>
      <c r="C736">
        <v>8</v>
      </c>
      <c r="D736" s="3">
        <v>17.4011</v>
      </c>
      <c r="E736" s="3">
        <v>-0.13</v>
      </c>
      <c r="F736">
        <v>0</v>
      </c>
      <c r="G736">
        <v>-12</v>
      </c>
      <c r="H736" s="6">
        <v>0</v>
      </c>
    </row>
    <row r="737" spans="1:8" x14ac:dyDescent="0.2">
      <c r="A737" t="s">
        <v>83</v>
      </c>
      <c r="B737">
        <v>2007</v>
      </c>
      <c r="C737">
        <v>8</v>
      </c>
      <c r="D737" s="3">
        <v>15.4938</v>
      </c>
      <c r="E737" s="3">
        <v>1.58</v>
      </c>
      <c r="F737">
        <v>0</v>
      </c>
      <c r="G737">
        <v>-2</v>
      </c>
      <c r="H737" s="6">
        <v>0</v>
      </c>
    </row>
    <row r="738" spans="1:8" x14ac:dyDescent="0.2">
      <c r="A738" t="s">
        <v>10</v>
      </c>
      <c r="B738">
        <v>2007</v>
      </c>
      <c r="C738">
        <v>9</v>
      </c>
      <c r="D738" s="3">
        <v>20.331399999999999</v>
      </c>
      <c r="E738" s="3">
        <v>3.13</v>
      </c>
      <c r="F738">
        <v>1</v>
      </c>
      <c r="G738">
        <v>-2</v>
      </c>
      <c r="H738" s="6">
        <v>12</v>
      </c>
    </row>
    <row r="739" spans="1:8" x14ac:dyDescent="0.2">
      <c r="A739" t="s">
        <v>34</v>
      </c>
      <c r="B739">
        <v>2007</v>
      </c>
      <c r="C739">
        <v>9</v>
      </c>
      <c r="D739" s="3">
        <v>20.258199999999999</v>
      </c>
      <c r="E739" s="3">
        <v>3.63</v>
      </c>
      <c r="F739">
        <v>0</v>
      </c>
      <c r="G739">
        <v>-9</v>
      </c>
      <c r="H739" s="6">
        <v>0</v>
      </c>
    </row>
    <row r="740" spans="1:8" x14ac:dyDescent="0.2">
      <c r="A740" t="s">
        <v>76</v>
      </c>
      <c r="B740">
        <v>2007</v>
      </c>
      <c r="C740">
        <v>9</v>
      </c>
      <c r="D740" s="3">
        <v>18.021599999999999</v>
      </c>
      <c r="E740" s="3">
        <v>6.3</v>
      </c>
      <c r="F740">
        <v>1</v>
      </c>
      <c r="G740">
        <v>-5</v>
      </c>
      <c r="H740" s="6">
        <v>2</v>
      </c>
    </row>
    <row r="741" spans="1:8" x14ac:dyDescent="0.2">
      <c r="A741" t="s">
        <v>74</v>
      </c>
      <c r="B741">
        <v>2007</v>
      </c>
      <c r="C741">
        <v>9</v>
      </c>
      <c r="D741" s="3">
        <v>17.261099999999999</v>
      </c>
      <c r="E741" s="3">
        <v>3.86</v>
      </c>
      <c r="F741">
        <v>1</v>
      </c>
      <c r="G741">
        <v>2</v>
      </c>
      <c r="H741" s="6">
        <v>9</v>
      </c>
    </row>
    <row r="742" spans="1:8" x14ac:dyDescent="0.2">
      <c r="A742" t="s">
        <v>306</v>
      </c>
      <c r="B742">
        <v>2007</v>
      </c>
      <c r="C742">
        <v>10</v>
      </c>
      <c r="D742" s="3">
        <v>19.342700000000001</v>
      </c>
      <c r="E742" s="3">
        <v>1.07</v>
      </c>
      <c r="F742">
        <v>0</v>
      </c>
      <c r="G742">
        <v>-4</v>
      </c>
      <c r="H742" s="6">
        <v>0</v>
      </c>
    </row>
    <row r="743" spans="1:8" x14ac:dyDescent="0.2">
      <c r="A743" t="s">
        <v>25</v>
      </c>
      <c r="B743">
        <v>2007</v>
      </c>
      <c r="C743">
        <v>10</v>
      </c>
      <c r="D743" s="3">
        <v>18.7742</v>
      </c>
      <c r="E743" s="3">
        <v>4.12</v>
      </c>
      <c r="F743">
        <v>0</v>
      </c>
      <c r="G743">
        <v>-6</v>
      </c>
      <c r="H743" s="6">
        <v>0</v>
      </c>
    </row>
    <row r="744" spans="1:8" x14ac:dyDescent="0.2">
      <c r="A744" t="s">
        <v>3</v>
      </c>
      <c r="B744">
        <v>2007</v>
      </c>
      <c r="C744">
        <v>10</v>
      </c>
      <c r="D744" s="3">
        <v>15.4663</v>
      </c>
      <c r="E744" s="3">
        <v>10.14</v>
      </c>
      <c r="F744">
        <v>0</v>
      </c>
      <c r="G744">
        <v>-13</v>
      </c>
      <c r="H744" s="6">
        <v>0</v>
      </c>
    </row>
    <row r="745" spans="1:8" x14ac:dyDescent="0.2">
      <c r="A745" t="s">
        <v>539</v>
      </c>
      <c r="B745">
        <v>2007</v>
      </c>
      <c r="C745">
        <v>10</v>
      </c>
      <c r="D745" s="3">
        <v>11.309100000000001</v>
      </c>
      <c r="E745" s="3">
        <v>3.57</v>
      </c>
      <c r="F745">
        <v>0</v>
      </c>
      <c r="G745">
        <v>-9</v>
      </c>
      <c r="H745" s="6">
        <v>0</v>
      </c>
    </row>
    <row r="746" spans="1:8" x14ac:dyDescent="0.2">
      <c r="A746" t="s">
        <v>468</v>
      </c>
      <c r="B746">
        <v>2007</v>
      </c>
      <c r="C746">
        <v>11</v>
      </c>
      <c r="D746" s="3">
        <v>14.2575</v>
      </c>
      <c r="E746" s="3">
        <v>10.33</v>
      </c>
      <c r="F746">
        <v>1</v>
      </c>
      <c r="G746">
        <v>5</v>
      </c>
      <c r="H746" s="6">
        <v>10</v>
      </c>
    </row>
    <row r="747" spans="1:8" x14ac:dyDescent="0.2">
      <c r="A747" t="s">
        <v>18</v>
      </c>
      <c r="B747">
        <v>2007</v>
      </c>
      <c r="C747">
        <v>11</v>
      </c>
      <c r="D747" s="3">
        <v>13.904999999999999</v>
      </c>
      <c r="E747" s="3">
        <v>0.93</v>
      </c>
      <c r="F747">
        <v>1</v>
      </c>
      <c r="G747">
        <v>-12</v>
      </c>
      <c r="H747" s="6">
        <v>2</v>
      </c>
    </row>
    <row r="748" spans="1:8" x14ac:dyDescent="0.2">
      <c r="A748" t="s">
        <v>459</v>
      </c>
      <c r="B748">
        <v>2007</v>
      </c>
      <c r="C748">
        <v>11</v>
      </c>
      <c r="D748" s="3">
        <v>12.0776</v>
      </c>
      <c r="E748" s="3">
        <v>3.08</v>
      </c>
      <c r="F748">
        <v>0</v>
      </c>
      <c r="G748">
        <v>-20</v>
      </c>
      <c r="H748" s="6">
        <v>0</v>
      </c>
    </row>
    <row r="749" spans="1:8" x14ac:dyDescent="0.2">
      <c r="A749" t="s">
        <v>540</v>
      </c>
      <c r="B749">
        <v>2007</v>
      </c>
      <c r="C749">
        <v>11</v>
      </c>
      <c r="D749" s="3">
        <v>8.4269999999999996</v>
      </c>
      <c r="E749" s="3">
        <v>-4.18</v>
      </c>
      <c r="F749">
        <v>0</v>
      </c>
      <c r="G749">
        <v>-33</v>
      </c>
      <c r="H749" s="6">
        <v>0</v>
      </c>
    </row>
    <row r="750" spans="1:8" x14ac:dyDescent="0.2">
      <c r="A750" t="s">
        <v>27</v>
      </c>
      <c r="B750">
        <v>2007</v>
      </c>
      <c r="C750">
        <v>12</v>
      </c>
      <c r="D750" s="3">
        <v>17.2821</v>
      </c>
      <c r="E750" s="3">
        <v>2.9</v>
      </c>
      <c r="F750">
        <v>0</v>
      </c>
      <c r="G750">
        <v>-2</v>
      </c>
      <c r="H750" s="6">
        <v>0</v>
      </c>
    </row>
    <row r="751" spans="1:8" x14ac:dyDescent="0.2">
      <c r="A751" t="s">
        <v>462</v>
      </c>
      <c r="B751">
        <v>2007</v>
      </c>
      <c r="C751">
        <v>12</v>
      </c>
      <c r="D751" s="3">
        <v>16.556899999999999</v>
      </c>
      <c r="E751" s="3">
        <v>4.17</v>
      </c>
      <c r="F751">
        <v>0</v>
      </c>
      <c r="G751">
        <v>-17</v>
      </c>
      <c r="H751" s="6">
        <v>0</v>
      </c>
    </row>
    <row r="752" spans="1:8" x14ac:dyDescent="0.2">
      <c r="A752" t="s">
        <v>224</v>
      </c>
      <c r="B752">
        <v>2007</v>
      </c>
      <c r="C752">
        <v>12</v>
      </c>
      <c r="D752" s="3">
        <v>12.991199999999999</v>
      </c>
      <c r="E752" s="3">
        <v>2.72</v>
      </c>
      <c r="F752">
        <v>0</v>
      </c>
      <c r="G752">
        <v>-11</v>
      </c>
      <c r="H752" s="6">
        <v>0</v>
      </c>
    </row>
    <row r="753" spans="1:8" x14ac:dyDescent="0.2">
      <c r="A753" t="s">
        <v>79</v>
      </c>
      <c r="B753">
        <v>2007</v>
      </c>
      <c r="C753">
        <v>12</v>
      </c>
      <c r="D753" s="3">
        <v>6.1619999999999999</v>
      </c>
      <c r="E753" s="3">
        <v>-3.65</v>
      </c>
      <c r="F753">
        <v>0</v>
      </c>
      <c r="G753">
        <v>-35</v>
      </c>
      <c r="H753" s="6">
        <v>0</v>
      </c>
    </row>
    <row r="754" spans="1:8" x14ac:dyDescent="0.2">
      <c r="A754" t="s">
        <v>51</v>
      </c>
      <c r="B754">
        <v>2007</v>
      </c>
      <c r="C754">
        <v>13</v>
      </c>
      <c r="D754" s="3">
        <v>13.327400000000001</v>
      </c>
      <c r="E754" s="3">
        <v>4.1399999999999997</v>
      </c>
      <c r="F754">
        <v>0</v>
      </c>
      <c r="G754">
        <v>-12</v>
      </c>
      <c r="H754" s="6">
        <v>0</v>
      </c>
    </row>
    <row r="755" spans="1:8" x14ac:dyDescent="0.2">
      <c r="A755" t="s">
        <v>49</v>
      </c>
      <c r="B755">
        <v>2007</v>
      </c>
      <c r="C755">
        <v>13</v>
      </c>
      <c r="D755" s="3">
        <v>7.4763000000000002</v>
      </c>
      <c r="E755" s="3">
        <v>-2.3199999999999998</v>
      </c>
      <c r="F755">
        <v>0</v>
      </c>
      <c r="G755">
        <v>-12</v>
      </c>
      <c r="H755" s="6">
        <v>0</v>
      </c>
    </row>
    <row r="756" spans="1:8" x14ac:dyDescent="0.2">
      <c r="A756" t="s">
        <v>541</v>
      </c>
      <c r="B756">
        <v>2007</v>
      </c>
      <c r="C756">
        <v>13</v>
      </c>
      <c r="D756" s="3">
        <v>7.4410999999999996</v>
      </c>
      <c r="E756" s="3">
        <v>-0.32</v>
      </c>
      <c r="F756">
        <v>0</v>
      </c>
      <c r="G756">
        <v>-10</v>
      </c>
      <c r="H756" s="6">
        <v>0</v>
      </c>
    </row>
    <row r="757" spans="1:8" x14ac:dyDescent="0.2">
      <c r="A757" t="s">
        <v>56</v>
      </c>
      <c r="B757">
        <v>2007</v>
      </c>
      <c r="C757">
        <v>13</v>
      </c>
      <c r="D757" s="3">
        <v>3.2454000000000001</v>
      </c>
      <c r="E757" s="3">
        <v>-0.89</v>
      </c>
      <c r="F757">
        <v>0</v>
      </c>
      <c r="G757">
        <v>-27</v>
      </c>
      <c r="H757" s="6">
        <v>0</v>
      </c>
    </row>
    <row r="758" spans="1:8" x14ac:dyDescent="0.2">
      <c r="A758" t="s">
        <v>466</v>
      </c>
      <c r="B758">
        <v>2007</v>
      </c>
      <c r="C758">
        <v>14</v>
      </c>
      <c r="D758" s="3">
        <v>8.8270999999999997</v>
      </c>
      <c r="E758" s="3">
        <v>4.04</v>
      </c>
      <c r="F758">
        <v>0</v>
      </c>
      <c r="G758">
        <v>-16</v>
      </c>
      <c r="H758" s="6">
        <v>0</v>
      </c>
    </row>
    <row r="759" spans="1:8" x14ac:dyDescent="0.2">
      <c r="A759" t="s">
        <v>544</v>
      </c>
      <c r="B759">
        <v>2007</v>
      </c>
      <c r="C759">
        <v>14</v>
      </c>
      <c r="D759" s="3">
        <v>7.9027000000000003</v>
      </c>
      <c r="E759" s="3">
        <v>2.0499999999999998</v>
      </c>
      <c r="F759">
        <v>0</v>
      </c>
      <c r="G759">
        <v>-16</v>
      </c>
      <c r="H759" s="6">
        <v>0</v>
      </c>
    </row>
    <row r="760" spans="1:8" x14ac:dyDescent="0.2">
      <c r="A760" t="s">
        <v>542</v>
      </c>
      <c r="B760">
        <v>2007</v>
      </c>
      <c r="C760">
        <v>14</v>
      </c>
      <c r="D760" s="3">
        <v>7.8512000000000004</v>
      </c>
      <c r="E760" s="3">
        <v>5.52</v>
      </c>
      <c r="F760">
        <v>0</v>
      </c>
      <c r="G760">
        <v>-2</v>
      </c>
      <c r="H760" s="6">
        <v>0</v>
      </c>
    </row>
    <row r="761" spans="1:8" x14ac:dyDescent="0.2">
      <c r="A761" t="s">
        <v>543</v>
      </c>
      <c r="B761">
        <v>2007</v>
      </c>
      <c r="C761">
        <v>14</v>
      </c>
      <c r="D761" s="3">
        <v>6.9292999999999996</v>
      </c>
      <c r="E761" s="3">
        <v>-3.02</v>
      </c>
      <c r="F761">
        <v>0</v>
      </c>
      <c r="G761">
        <v>-21</v>
      </c>
      <c r="H761" s="6">
        <v>0</v>
      </c>
    </row>
    <row r="762" spans="1:8" x14ac:dyDescent="0.2">
      <c r="A762" t="s">
        <v>545</v>
      </c>
      <c r="B762">
        <v>2007</v>
      </c>
      <c r="C762">
        <v>15</v>
      </c>
      <c r="D762" s="3">
        <v>7.6159999999999997</v>
      </c>
      <c r="E762" s="3">
        <v>1.59</v>
      </c>
      <c r="F762">
        <v>0</v>
      </c>
      <c r="G762">
        <v>-13</v>
      </c>
      <c r="H762" s="6">
        <v>0</v>
      </c>
    </row>
    <row r="763" spans="1:8" x14ac:dyDescent="0.2">
      <c r="A763" t="s">
        <v>42</v>
      </c>
      <c r="B763">
        <v>2007</v>
      </c>
      <c r="C763">
        <v>15</v>
      </c>
      <c r="D763" s="3">
        <v>4.5418000000000003</v>
      </c>
      <c r="E763" s="3">
        <v>0.68</v>
      </c>
      <c r="F763">
        <v>0</v>
      </c>
      <c r="G763">
        <v>-25</v>
      </c>
      <c r="H763" s="6">
        <v>0</v>
      </c>
    </row>
    <row r="764" spans="1:8" x14ac:dyDescent="0.2">
      <c r="A764" t="s">
        <v>313</v>
      </c>
      <c r="B764">
        <v>2007</v>
      </c>
      <c r="C764">
        <v>15</v>
      </c>
      <c r="D764" s="3">
        <v>-1.2522</v>
      </c>
      <c r="E764" s="3">
        <v>-4.54</v>
      </c>
      <c r="F764">
        <v>0</v>
      </c>
      <c r="G764">
        <v>-15</v>
      </c>
      <c r="H764" s="6">
        <v>0</v>
      </c>
    </row>
    <row r="765" spans="1:8" x14ac:dyDescent="0.2">
      <c r="A765" t="s">
        <v>546</v>
      </c>
      <c r="B765">
        <v>2007</v>
      </c>
      <c r="C765">
        <v>15</v>
      </c>
      <c r="D765" s="3">
        <v>-2.2469999999999999</v>
      </c>
      <c r="E765" s="3">
        <v>0.37</v>
      </c>
      <c r="F765">
        <v>0</v>
      </c>
      <c r="G765">
        <v>-28</v>
      </c>
      <c r="H765" s="6">
        <v>0</v>
      </c>
    </row>
    <row r="766" spans="1:8" x14ac:dyDescent="0.2">
      <c r="A766" t="s">
        <v>551</v>
      </c>
      <c r="B766">
        <v>2007</v>
      </c>
      <c r="C766">
        <v>16</v>
      </c>
      <c r="D766" s="3">
        <v>-2.0649999999999999</v>
      </c>
      <c r="E766" s="3">
        <v>-4.6500000000000004</v>
      </c>
      <c r="F766">
        <v>0</v>
      </c>
      <c r="G766">
        <v>-21</v>
      </c>
      <c r="H766" s="6">
        <v>0</v>
      </c>
    </row>
    <row r="767" spans="1:8" x14ac:dyDescent="0.2">
      <c r="A767" t="s">
        <v>547</v>
      </c>
      <c r="B767">
        <v>2007</v>
      </c>
      <c r="C767">
        <v>16</v>
      </c>
      <c r="D767" s="3">
        <v>-2.6884999999999999</v>
      </c>
      <c r="E767" s="3">
        <v>-4.33</v>
      </c>
      <c r="F767">
        <v>0</v>
      </c>
      <c r="G767">
        <v>-40</v>
      </c>
      <c r="H767" s="6">
        <v>0</v>
      </c>
    </row>
    <row r="768" spans="1:8" x14ac:dyDescent="0.2">
      <c r="A768" t="s">
        <v>548</v>
      </c>
      <c r="B768">
        <v>2007</v>
      </c>
      <c r="C768">
        <v>16</v>
      </c>
      <c r="D768" s="3">
        <v>-2.6957</v>
      </c>
      <c r="E768" s="3">
        <v>2.46</v>
      </c>
      <c r="F768">
        <v>0</v>
      </c>
      <c r="G768">
        <v>-21</v>
      </c>
      <c r="H768" s="6">
        <v>0</v>
      </c>
    </row>
    <row r="769" spans="1:8" x14ac:dyDescent="0.2">
      <c r="A769" t="s">
        <v>550</v>
      </c>
      <c r="B769">
        <v>2007</v>
      </c>
      <c r="C769">
        <v>16</v>
      </c>
      <c r="D769" s="3">
        <v>-9.0731000000000002</v>
      </c>
      <c r="E769" s="3">
        <v>2.76</v>
      </c>
      <c r="F769">
        <v>0</v>
      </c>
      <c r="G769">
        <v>-43</v>
      </c>
      <c r="H769" s="6">
        <v>0</v>
      </c>
    </row>
    <row r="770" spans="1:8" x14ac:dyDescent="0.2">
      <c r="A770" t="s">
        <v>6</v>
      </c>
      <c r="B770">
        <v>2006</v>
      </c>
      <c r="C770">
        <v>1</v>
      </c>
      <c r="D770" s="3">
        <v>27.941400000000002</v>
      </c>
      <c r="E770" s="3">
        <v>8.1999999999999993</v>
      </c>
      <c r="F770">
        <v>2</v>
      </c>
      <c r="G770">
        <v>21</v>
      </c>
      <c r="H770" s="6">
        <f>(29/2)</f>
        <v>14.5</v>
      </c>
    </row>
    <row r="771" spans="1:8" x14ac:dyDescent="0.2">
      <c r="A771" t="s">
        <v>90</v>
      </c>
      <c r="B771">
        <v>2006</v>
      </c>
      <c r="C771">
        <v>1</v>
      </c>
      <c r="D771" s="3">
        <v>25.2531</v>
      </c>
      <c r="E771" s="3">
        <v>-1.45</v>
      </c>
      <c r="F771">
        <v>3</v>
      </c>
      <c r="G771">
        <v>21</v>
      </c>
      <c r="H771" s="6">
        <f>(23/3)</f>
        <v>7.666666666666667</v>
      </c>
    </row>
    <row r="772" spans="1:8" x14ac:dyDescent="0.2">
      <c r="A772" t="s">
        <v>34</v>
      </c>
      <c r="B772">
        <v>2006</v>
      </c>
      <c r="C772">
        <v>1</v>
      </c>
      <c r="D772" s="3">
        <v>25.159400000000002</v>
      </c>
      <c r="E772" s="3">
        <v>3.94</v>
      </c>
      <c r="F772">
        <v>3</v>
      </c>
      <c r="G772">
        <v>5</v>
      </c>
      <c r="H772" s="6">
        <f>(18/3)</f>
        <v>6</v>
      </c>
    </row>
    <row r="773" spans="1:8" x14ac:dyDescent="0.2">
      <c r="A773" t="s">
        <v>22</v>
      </c>
      <c r="B773">
        <v>2006</v>
      </c>
      <c r="C773">
        <v>1</v>
      </c>
      <c r="D773" s="3">
        <v>21.776700000000002</v>
      </c>
      <c r="E773" s="3">
        <v>9.3000000000000007</v>
      </c>
      <c r="F773">
        <v>3</v>
      </c>
      <c r="G773">
        <v>43</v>
      </c>
      <c r="H773" s="6">
        <f>(48/3)</f>
        <v>16</v>
      </c>
    </row>
    <row r="774" spans="1:8" x14ac:dyDescent="0.2">
      <c r="A774" t="s">
        <v>78</v>
      </c>
      <c r="B774">
        <v>2006</v>
      </c>
      <c r="C774">
        <v>2</v>
      </c>
      <c r="D774" s="3">
        <v>25.779699999999998</v>
      </c>
      <c r="E774" s="3">
        <v>2.85</v>
      </c>
      <c r="F774">
        <v>3</v>
      </c>
      <c r="G774">
        <v>22</v>
      </c>
      <c r="H774" s="6">
        <f>(32/3)</f>
        <v>10.666666666666666</v>
      </c>
    </row>
    <row r="775" spans="1:8" x14ac:dyDescent="0.2">
      <c r="A775" t="s">
        <v>5</v>
      </c>
      <c r="B775">
        <v>2006</v>
      </c>
      <c r="C775">
        <v>2</v>
      </c>
      <c r="D775" s="3">
        <v>22.290800000000001</v>
      </c>
      <c r="E775" s="3">
        <v>0.84</v>
      </c>
      <c r="F775">
        <v>1</v>
      </c>
      <c r="G775">
        <v>-10</v>
      </c>
      <c r="H775" s="6">
        <v>8</v>
      </c>
    </row>
    <row r="776" spans="1:8" x14ac:dyDescent="0.2">
      <c r="A776" t="s">
        <v>24</v>
      </c>
      <c r="B776">
        <v>2006</v>
      </c>
      <c r="C776">
        <v>2</v>
      </c>
      <c r="D776" s="3">
        <v>21.713799999999999</v>
      </c>
      <c r="E776" s="3">
        <v>5.61</v>
      </c>
      <c r="F776">
        <v>5</v>
      </c>
      <c r="G776">
        <v>42</v>
      </c>
      <c r="H776" s="6">
        <f>(58/5)</f>
        <v>11.6</v>
      </c>
    </row>
    <row r="777" spans="1:8" x14ac:dyDescent="0.2">
      <c r="A777" t="s">
        <v>225</v>
      </c>
      <c r="B777">
        <v>2006</v>
      </c>
      <c r="C777">
        <v>2</v>
      </c>
      <c r="D777" s="3">
        <v>18.7164</v>
      </c>
      <c r="E777" s="3">
        <v>2.67</v>
      </c>
      <c r="F777">
        <v>1</v>
      </c>
      <c r="G777">
        <v>-5</v>
      </c>
      <c r="H777" s="6">
        <v>2</v>
      </c>
    </row>
    <row r="778" spans="1:8" x14ac:dyDescent="0.2">
      <c r="A778" t="s">
        <v>9</v>
      </c>
      <c r="B778">
        <v>2006</v>
      </c>
      <c r="C778">
        <v>3</v>
      </c>
      <c r="D778" s="3">
        <v>23.2942</v>
      </c>
      <c r="E778" s="3">
        <v>-4.71</v>
      </c>
      <c r="F778">
        <v>6</v>
      </c>
      <c r="G778">
        <v>86</v>
      </c>
      <c r="H778" s="6">
        <f>(86/6)</f>
        <v>14.333333333333334</v>
      </c>
    </row>
    <row r="779" spans="1:8" x14ac:dyDescent="0.2">
      <c r="A779" t="s">
        <v>29</v>
      </c>
      <c r="B779">
        <v>2006</v>
      </c>
      <c r="C779">
        <v>3</v>
      </c>
      <c r="D779" s="3">
        <v>22.722799999999999</v>
      </c>
      <c r="E779" s="3">
        <v>2.74</v>
      </c>
      <c r="F779">
        <v>1</v>
      </c>
      <c r="G779">
        <v>-1</v>
      </c>
      <c r="H779" s="6">
        <v>4</v>
      </c>
    </row>
    <row r="780" spans="1:8" x14ac:dyDescent="0.2">
      <c r="A780" t="s">
        <v>615</v>
      </c>
      <c r="B780">
        <v>2006</v>
      </c>
      <c r="C780">
        <v>3</v>
      </c>
      <c r="D780" s="3">
        <v>18.907900000000001</v>
      </c>
      <c r="E780" s="3">
        <v>1.82</v>
      </c>
      <c r="F780">
        <v>0</v>
      </c>
      <c r="G780">
        <v>-1</v>
      </c>
      <c r="H780" s="6">
        <v>0</v>
      </c>
    </row>
    <row r="781" spans="1:8" x14ac:dyDescent="0.2">
      <c r="A781" t="s">
        <v>3</v>
      </c>
      <c r="B781">
        <v>2006</v>
      </c>
      <c r="C781">
        <v>3</v>
      </c>
      <c r="D781" s="3">
        <v>14.407500000000001</v>
      </c>
      <c r="E781" s="3">
        <v>9.77</v>
      </c>
      <c r="F781">
        <v>2</v>
      </c>
      <c r="G781">
        <v>12</v>
      </c>
      <c r="H781" s="6">
        <f>(14/2)</f>
        <v>7</v>
      </c>
    </row>
    <row r="782" spans="1:8" x14ac:dyDescent="0.2">
      <c r="A782" t="s">
        <v>4</v>
      </c>
      <c r="B782">
        <v>2006</v>
      </c>
      <c r="C782">
        <v>4</v>
      </c>
      <c r="D782" s="3">
        <v>23.574300000000001</v>
      </c>
      <c r="E782" s="3">
        <v>2.89</v>
      </c>
      <c r="F782">
        <v>0</v>
      </c>
      <c r="G782">
        <v>-4</v>
      </c>
      <c r="H782" s="6">
        <v>0</v>
      </c>
    </row>
    <row r="783" spans="1:8" x14ac:dyDescent="0.2">
      <c r="A783" t="s">
        <v>27</v>
      </c>
      <c r="B783">
        <v>2006</v>
      </c>
      <c r="C783">
        <v>4</v>
      </c>
      <c r="D783" s="3">
        <v>23.254300000000001</v>
      </c>
      <c r="E783" s="3">
        <v>-1.18</v>
      </c>
      <c r="F783">
        <v>1</v>
      </c>
      <c r="G783">
        <v>6</v>
      </c>
      <c r="H783" s="6">
        <v>9</v>
      </c>
    </row>
    <row r="784" spans="1:8" x14ac:dyDescent="0.2">
      <c r="A784" t="s">
        <v>383</v>
      </c>
      <c r="B784">
        <v>2006</v>
      </c>
      <c r="C784">
        <v>4</v>
      </c>
      <c r="D784" s="3">
        <v>19.804600000000001</v>
      </c>
      <c r="E784" s="3">
        <v>4.82</v>
      </c>
      <c r="F784">
        <v>4</v>
      </c>
      <c r="G784">
        <v>21</v>
      </c>
      <c r="H784" s="6">
        <f>(35/4)</f>
        <v>8.75</v>
      </c>
    </row>
    <row r="785" spans="1:8" x14ac:dyDescent="0.2">
      <c r="A785" t="s">
        <v>382</v>
      </c>
      <c r="B785">
        <v>2006</v>
      </c>
      <c r="C785">
        <v>4</v>
      </c>
      <c r="D785" s="3">
        <v>17.712</v>
      </c>
      <c r="E785" s="3">
        <v>-3.79</v>
      </c>
      <c r="F785">
        <v>2</v>
      </c>
      <c r="G785">
        <v>20</v>
      </c>
      <c r="H785" s="6">
        <f>(21/2)</f>
        <v>10.5</v>
      </c>
    </row>
    <row r="786" spans="1:8" x14ac:dyDescent="0.2">
      <c r="A786" t="s">
        <v>28</v>
      </c>
      <c r="B786">
        <v>2006</v>
      </c>
      <c r="C786">
        <v>5</v>
      </c>
      <c r="D786" s="3">
        <v>20.991700000000002</v>
      </c>
      <c r="E786" s="3">
        <v>-2.67</v>
      </c>
      <c r="F786">
        <v>1</v>
      </c>
      <c r="G786">
        <v>9</v>
      </c>
      <c r="H786" s="6">
        <v>15</v>
      </c>
    </row>
    <row r="787" spans="1:8" x14ac:dyDescent="0.2">
      <c r="A787" t="s">
        <v>221</v>
      </c>
      <c r="B787">
        <v>2006</v>
      </c>
      <c r="C787">
        <v>5</v>
      </c>
      <c r="D787" s="3">
        <v>18.3993</v>
      </c>
      <c r="E787" s="3">
        <v>-2.56</v>
      </c>
      <c r="F787">
        <v>2</v>
      </c>
      <c r="G787">
        <v>11</v>
      </c>
      <c r="H787" s="6">
        <f>(17/2)</f>
        <v>8.5</v>
      </c>
    </row>
    <row r="788" spans="1:8" x14ac:dyDescent="0.2">
      <c r="A788" t="s">
        <v>538</v>
      </c>
      <c r="B788">
        <v>2006</v>
      </c>
      <c r="C788">
        <v>5</v>
      </c>
      <c r="D788" s="3">
        <v>15.8369</v>
      </c>
      <c r="E788" s="3">
        <v>4.05</v>
      </c>
      <c r="F788">
        <v>0</v>
      </c>
      <c r="G788">
        <v>-8</v>
      </c>
      <c r="H788" s="6">
        <v>0</v>
      </c>
    </row>
    <row r="789" spans="1:8" x14ac:dyDescent="0.2">
      <c r="A789" t="s">
        <v>14</v>
      </c>
      <c r="B789">
        <v>2006</v>
      </c>
      <c r="C789">
        <v>5</v>
      </c>
      <c r="D789" s="3">
        <v>12.992699999999999</v>
      </c>
      <c r="E789" s="3">
        <v>0.72</v>
      </c>
      <c r="F789">
        <v>0</v>
      </c>
      <c r="G789">
        <v>-8</v>
      </c>
      <c r="H789" s="6">
        <v>0</v>
      </c>
    </row>
    <row r="790" spans="1:8" x14ac:dyDescent="0.2">
      <c r="A790" t="s">
        <v>77</v>
      </c>
      <c r="B790">
        <v>2006</v>
      </c>
      <c r="C790">
        <v>6</v>
      </c>
      <c r="D790" s="3">
        <v>17.604500000000002</v>
      </c>
      <c r="E790" s="3">
        <v>1.61</v>
      </c>
      <c r="F790">
        <v>2</v>
      </c>
      <c r="G790">
        <v>28</v>
      </c>
      <c r="H790" s="6">
        <f>(31/2)</f>
        <v>15.5</v>
      </c>
    </row>
    <row r="791" spans="1:8" x14ac:dyDescent="0.2">
      <c r="A791" t="s">
        <v>10</v>
      </c>
      <c r="B791">
        <v>2006</v>
      </c>
      <c r="C791">
        <v>6</v>
      </c>
      <c r="D791" s="3">
        <v>16.676300000000001</v>
      </c>
      <c r="E791" s="3">
        <v>1.04</v>
      </c>
      <c r="F791">
        <v>0</v>
      </c>
      <c r="G791">
        <v>-10</v>
      </c>
      <c r="H791" s="6">
        <v>0</v>
      </c>
    </row>
    <row r="792" spans="1:8" x14ac:dyDescent="0.2">
      <c r="A792" t="s">
        <v>2</v>
      </c>
      <c r="B792">
        <v>2006</v>
      </c>
      <c r="C792">
        <v>6</v>
      </c>
      <c r="D792" s="3">
        <v>16.300599999999999</v>
      </c>
      <c r="E792" s="3">
        <v>1.1200000000000001</v>
      </c>
      <c r="F792">
        <v>1</v>
      </c>
      <c r="G792">
        <v>-6</v>
      </c>
      <c r="H792" s="6">
        <v>4</v>
      </c>
    </row>
    <row r="793" spans="1:8" x14ac:dyDescent="0.2">
      <c r="A793" t="s">
        <v>38</v>
      </c>
      <c r="B793">
        <v>2006</v>
      </c>
      <c r="C793">
        <v>6</v>
      </c>
      <c r="D793" s="3">
        <v>14.537699999999999</v>
      </c>
      <c r="E793" s="3">
        <v>2.16</v>
      </c>
      <c r="F793">
        <v>0</v>
      </c>
      <c r="G793">
        <v>-8</v>
      </c>
      <c r="H793" s="6">
        <v>0</v>
      </c>
    </row>
    <row r="794" spans="1:8" x14ac:dyDescent="0.2">
      <c r="A794" t="s">
        <v>7</v>
      </c>
      <c r="B794">
        <v>2006</v>
      </c>
      <c r="C794">
        <v>7</v>
      </c>
      <c r="D794" s="3">
        <v>19.2197</v>
      </c>
      <c r="E794" s="3">
        <v>-2.2599999999999998</v>
      </c>
      <c r="F794">
        <v>2</v>
      </c>
      <c r="G794">
        <v>19</v>
      </c>
      <c r="H794" s="6">
        <f>(23/2)</f>
        <v>11.5</v>
      </c>
    </row>
    <row r="795" spans="1:8" x14ac:dyDescent="0.2">
      <c r="A795" t="s">
        <v>12</v>
      </c>
      <c r="B795">
        <v>2006</v>
      </c>
      <c r="C795">
        <v>7</v>
      </c>
      <c r="D795" s="3">
        <v>15.1976</v>
      </c>
      <c r="E795" s="3">
        <v>0.79</v>
      </c>
      <c r="F795">
        <v>0</v>
      </c>
      <c r="G795">
        <v>-5</v>
      </c>
      <c r="H795" s="6">
        <v>0</v>
      </c>
    </row>
    <row r="796" spans="1:8" x14ac:dyDescent="0.2">
      <c r="A796" t="s">
        <v>32</v>
      </c>
      <c r="B796">
        <v>2006</v>
      </c>
      <c r="C796">
        <v>7</v>
      </c>
      <c r="D796" s="3">
        <v>15.117000000000001</v>
      </c>
      <c r="E796" s="3">
        <v>2.02</v>
      </c>
      <c r="F796">
        <v>2</v>
      </c>
      <c r="G796">
        <v>19</v>
      </c>
      <c r="H796" s="6">
        <f>(27/2)</f>
        <v>13.5</v>
      </c>
    </row>
    <row r="797" spans="1:8" x14ac:dyDescent="0.2">
      <c r="A797" t="s">
        <v>45</v>
      </c>
      <c r="B797">
        <v>2006</v>
      </c>
      <c r="C797">
        <v>7</v>
      </c>
      <c r="D797" s="3">
        <v>13.0975</v>
      </c>
      <c r="E797" s="3">
        <v>2.84</v>
      </c>
      <c r="F797">
        <v>0</v>
      </c>
      <c r="G797">
        <v>-6</v>
      </c>
      <c r="H797" s="6">
        <v>0</v>
      </c>
    </row>
    <row r="798" spans="1:8" x14ac:dyDescent="0.2">
      <c r="A798" t="s">
        <v>462</v>
      </c>
      <c r="B798">
        <v>2006</v>
      </c>
      <c r="C798">
        <v>8</v>
      </c>
      <c r="D798" s="3">
        <v>17.7059</v>
      </c>
      <c r="E798" s="3">
        <v>-0.79</v>
      </c>
      <c r="F798">
        <v>0</v>
      </c>
      <c r="G798">
        <v>-4</v>
      </c>
      <c r="H798" s="6">
        <v>0</v>
      </c>
    </row>
    <row r="799" spans="1:8" x14ac:dyDescent="0.2">
      <c r="A799" t="s">
        <v>66</v>
      </c>
      <c r="B799">
        <v>2006</v>
      </c>
      <c r="C799">
        <v>8</v>
      </c>
      <c r="D799" s="3">
        <v>15.519299999999999</v>
      </c>
      <c r="E799" s="3">
        <v>5.35</v>
      </c>
      <c r="F799">
        <v>1</v>
      </c>
      <c r="G799">
        <v>1</v>
      </c>
      <c r="H799" s="6">
        <v>5</v>
      </c>
    </row>
    <row r="800" spans="1:8" x14ac:dyDescent="0.2">
      <c r="A800" t="s">
        <v>21</v>
      </c>
      <c r="B800">
        <v>2006</v>
      </c>
      <c r="C800">
        <v>8</v>
      </c>
      <c r="D800" s="3">
        <v>15.394</v>
      </c>
      <c r="E800" s="3">
        <v>9.99</v>
      </c>
      <c r="F800">
        <v>1</v>
      </c>
      <c r="G800">
        <v>15</v>
      </c>
      <c r="H800" s="6">
        <v>19</v>
      </c>
    </row>
    <row r="801" spans="1:8" x14ac:dyDescent="0.2">
      <c r="A801" t="s">
        <v>540</v>
      </c>
      <c r="B801">
        <v>2006</v>
      </c>
      <c r="C801">
        <v>8</v>
      </c>
      <c r="D801" s="3">
        <v>14.586399999999999</v>
      </c>
      <c r="E801" s="3">
        <v>-11.66</v>
      </c>
      <c r="F801">
        <v>1</v>
      </c>
      <c r="G801">
        <v>-10</v>
      </c>
      <c r="H801" s="6">
        <v>3</v>
      </c>
    </row>
    <row r="802" spans="1:8" x14ac:dyDescent="0.2">
      <c r="A802" t="s">
        <v>17</v>
      </c>
      <c r="B802">
        <v>2006</v>
      </c>
      <c r="C802">
        <v>9</v>
      </c>
      <c r="D802" s="3">
        <v>16.213100000000001</v>
      </c>
      <c r="E802" s="3">
        <v>3.97</v>
      </c>
      <c r="F802">
        <v>0</v>
      </c>
      <c r="G802">
        <v>-19</v>
      </c>
      <c r="H802" s="6">
        <v>0</v>
      </c>
    </row>
    <row r="803" spans="1:8" x14ac:dyDescent="0.2">
      <c r="A803" t="s">
        <v>1067</v>
      </c>
      <c r="B803">
        <v>2006</v>
      </c>
      <c r="C803">
        <v>9</v>
      </c>
      <c r="D803" s="3">
        <v>14.415100000000001</v>
      </c>
      <c r="E803" s="3">
        <v>-0.42</v>
      </c>
      <c r="F803">
        <v>0</v>
      </c>
      <c r="G803">
        <v>-3</v>
      </c>
      <c r="H803" s="6">
        <v>0</v>
      </c>
    </row>
    <row r="804" spans="1:8" x14ac:dyDescent="0.2">
      <c r="A804" t="s">
        <v>43</v>
      </c>
      <c r="B804">
        <v>2006</v>
      </c>
      <c r="C804">
        <v>9</v>
      </c>
      <c r="D804" s="3">
        <v>12.4254</v>
      </c>
      <c r="E804" s="3">
        <v>5.17</v>
      </c>
      <c r="F804">
        <v>1</v>
      </c>
      <c r="G804">
        <v>-12</v>
      </c>
      <c r="H804" s="6">
        <v>4</v>
      </c>
    </row>
    <row r="805" spans="1:8" x14ac:dyDescent="0.2">
      <c r="A805" t="s">
        <v>616</v>
      </c>
      <c r="B805">
        <v>2006</v>
      </c>
      <c r="C805">
        <v>9</v>
      </c>
      <c r="D805" s="3">
        <v>12.203900000000001</v>
      </c>
      <c r="E805" s="3">
        <v>1.64</v>
      </c>
      <c r="F805">
        <v>0</v>
      </c>
      <c r="G805">
        <v>-5</v>
      </c>
      <c r="H805" s="6">
        <v>0</v>
      </c>
    </row>
    <row r="806" spans="1:8" x14ac:dyDescent="0.2">
      <c r="A806" t="s">
        <v>31</v>
      </c>
      <c r="B806">
        <v>2006</v>
      </c>
      <c r="C806">
        <v>10</v>
      </c>
      <c r="D806" s="3">
        <v>16.25</v>
      </c>
      <c r="E806" s="3">
        <v>-3.62</v>
      </c>
      <c r="F806">
        <v>1</v>
      </c>
      <c r="G806">
        <v>-15</v>
      </c>
      <c r="H806" s="6">
        <v>6</v>
      </c>
    </row>
    <row r="807" spans="1:8" x14ac:dyDescent="0.2">
      <c r="A807" t="s">
        <v>304</v>
      </c>
      <c r="B807">
        <v>2006</v>
      </c>
      <c r="C807">
        <v>10</v>
      </c>
      <c r="D807" s="3">
        <v>16.062000000000001</v>
      </c>
      <c r="E807" s="3">
        <v>1.89</v>
      </c>
      <c r="F807">
        <v>0</v>
      </c>
      <c r="G807">
        <v>-5</v>
      </c>
      <c r="H807" s="6">
        <v>0</v>
      </c>
    </row>
    <row r="808" spans="1:8" x14ac:dyDescent="0.2">
      <c r="A808" t="s">
        <v>72</v>
      </c>
      <c r="B808">
        <v>2006</v>
      </c>
      <c r="C808">
        <v>10</v>
      </c>
      <c r="D808" s="3">
        <v>10.7384</v>
      </c>
      <c r="E808" s="3">
        <v>5.51</v>
      </c>
      <c r="F808">
        <v>1</v>
      </c>
      <c r="G808">
        <v>2</v>
      </c>
      <c r="H808" s="6">
        <v>5</v>
      </c>
    </row>
    <row r="809" spans="1:8" x14ac:dyDescent="0.2">
      <c r="A809" t="s">
        <v>617</v>
      </c>
      <c r="B809">
        <v>2006</v>
      </c>
      <c r="C809">
        <v>10</v>
      </c>
      <c r="D809" s="3">
        <v>9.4344000000000001</v>
      </c>
      <c r="E809" s="3">
        <v>1.87</v>
      </c>
      <c r="F809">
        <v>0</v>
      </c>
      <c r="G809">
        <v>-20</v>
      </c>
      <c r="H809" s="6">
        <v>0</v>
      </c>
    </row>
    <row r="810" spans="1:8" x14ac:dyDescent="0.2">
      <c r="A810" t="s">
        <v>223</v>
      </c>
      <c r="B810">
        <v>2006</v>
      </c>
      <c r="C810">
        <v>11</v>
      </c>
      <c r="D810" s="3">
        <v>16.238499999999998</v>
      </c>
      <c r="E810" s="3">
        <v>1.99</v>
      </c>
      <c r="F810">
        <v>4</v>
      </c>
      <c r="G810">
        <v>10</v>
      </c>
      <c r="H810" s="6">
        <f>(25/4)</f>
        <v>6.25</v>
      </c>
    </row>
    <row r="811" spans="1:8" x14ac:dyDescent="0.2">
      <c r="A811" t="s">
        <v>552</v>
      </c>
      <c r="B811">
        <v>2006</v>
      </c>
      <c r="C811">
        <v>11</v>
      </c>
      <c r="D811" s="3">
        <v>14.376099999999999</v>
      </c>
      <c r="E811" s="3">
        <v>0.63</v>
      </c>
      <c r="F811">
        <v>0</v>
      </c>
      <c r="G811">
        <v>-18</v>
      </c>
      <c r="H811" s="6">
        <v>0</v>
      </c>
    </row>
    <row r="812" spans="1:8" x14ac:dyDescent="0.2">
      <c r="A812" t="s">
        <v>143</v>
      </c>
      <c r="B812">
        <v>2006</v>
      </c>
      <c r="C812">
        <v>11</v>
      </c>
      <c r="D812" s="3">
        <v>12.7186</v>
      </c>
      <c r="E812" s="3">
        <v>-0.26</v>
      </c>
      <c r="F812">
        <v>0</v>
      </c>
      <c r="G812">
        <v>-4</v>
      </c>
      <c r="H812" s="6">
        <v>0</v>
      </c>
    </row>
    <row r="813" spans="1:8" x14ac:dyDescent="0.2">
      <c r="A813" t="s">
        <v>618</v>
      </c>
      <c r="B813">
        <v>2006</v>
      </c>
      <c r="C813">
        <v>11</v>
      </c>
      <c r="D813" s="3">
        <v>11.855600000000001</v>
      </c>
      <c r="E813" s="3">
        <v>4.0599999999999996</v>
      </c>
      <c r="F813">
        <v>1</v>
      </c>
      <c r="G813">
        <v>-14</v>
      </c>
      <c r="H813" s="6">
        <v>8</v>
      </c>
    </row>
    <row r="814" spans="1:8" x14ac:dyDescent="0.2">
      <c r="A814" t="s">
        <v>222</v>
      </c>
      <c r="B814">
        <v>2006</v>
      </c>
      <c r="C814">
        <v>12</v>
      </c>
      <c r="D814" s="3">
        <v>15.4359</v>
      </c>
      <c r="E814" s="3">
        <v>-6.75</v>
      </c>
      <c r="F814">
        <v>1</v>
      </c>
      <c r="G814">
        <v>7</v>
      </c>
      <c r="H814" s="6">
        <v>8</v>
      </c>
    </row>
    <row r="815" spans="1:8" x14ac:dyDescent="0.2">
      <c r="A815" t="s">
        <v>228</v>
      </c>
      <c r="B815">
        <v>2006</v>
      </c>
      <c r="C815">
        <v>12</v>
      </c>
      <c r="D815" s="3">
        <v>11.4567</v>
      </c>
      <c r="E815" s="3">
        <v>-0.76</v>
      </c>
      <c r="F815">
        <v>0</v>
      </c>
      <c r="G815">
        <v>-14</v>
      </c>
      <c r="H815" s="6">
        <v>0</v>
      </c>
    </row>
    <row r="816" spans="1:8" x14ac:dyDescent="0.2">
      <c r="A816" t="s">
        <v>463</v>
      </c>
      <c r="B816">
        <v>2006</v>
      </c>
      <c r="C816">
        <v>12</v>
      </c>
      <c r="D816" s="3">
        <v>10.677</v>
      </c>
      <c r="E816" s="3">
        <v>-0.64</v>
      </c>
      <c r="F816">
        <v>0</v>
      </c>
      <c r="G816">
        <v>-15</v>
      </c>
      <c r="H816" s="6">
        <v>0</v>
      </c>
    </row>
    <row r="817" spans="1:8" x14ac:dyDescent="0.2">
      <c r="A817" t="s">
        <v>59</v>
      </c>
      <c r="B817">
        <v>2006</v>
      </c>
      <c r="C817">
        <v>12</v>
      </c>
      <c r="D817" s="3">
        <v>8.7033000000000005</v>
      </c>
      <c r="E817" s="3">
        <v>-0.6</v>
      </c>
      <c r="F817">
        <v>1</v>
      </c>
      <c r="G817">
        <v>-5</v>
      </c>
      <c r="H817" s="6">
        <v>8</v>
      </c>
    </row>
    <row r="818" spans="1:8" x14ac:dyDescent="0.2">
      <c r="A818" t="s">
        <v>619</v>
      </c>
      <c r="B818">
        <v>2006</v>
      </c>
      <c r="C818">
        <v>13</v>
      </c>
      <c r="D818" s="3">
        <v>16.013200000000001</v>
      </c>
      <c r="E818" s="3">
        <v>-1.36</v>
      </c>
      <c r="F818">
        <v>2</v>
      </c>
      <c r="G818">
        <v>-6</v>
      </c>
      <c r="H818" s="6">
        <f>(10/2)</f>
        <v>5</v>
      </c>
    </row>
    <row r="819" spans="1:8" x14ac:dyDescent="0.2">
      <c r="A819" t="s">
        <v>620</v>
      </c>
      <c r="B819">
        <v>2006</v>
      </c>
      <c r="C819">
        <v>13</v>
      </c>
      <c r="D819" s="3">
        <v>15.056100000000001</v>
      </c>
      <c r="E819" s="3">
        <v>-4.0999999999999996</v>
      </c>
      <c r="F819">
        <v>0</v>
      </c>
      <c r="G819">
        <v>-9</v>
      </c>
      <c r="H819" s="6">
        <v>0</v>
      </c>
    </row>
    <row r="820" spans="1:8" x14ac:dyDescent="0.2">
      <c r="A820" t="s">
        <v>55</v>
      </c>
      <c r="B820">
        <v>2006</v>
      </c>
      <c r="C820">
        <v>13</v>
      </c>
      <c r="D820" s="3">
        <v>11.2584</v>
      </c>
      <c r="E820" s="3">
        <v>2.2200000000000002</v>
      </c>
      <c r="F820">
        <v>0</v>
      </c>
      <c r="G820">
        <v>-16</v>
      </c>
      <c r="H820" s="6">
        <v>0</v>
      </c>
    </row>
    <row r="821" spans="1:8" x14ac:dyDescent="0.2">
      <c r="A821" t="s">
        <v>57</v>
      </c>
      <c r="B821">
        <v>2006</v>
      </c>
      <c r="C821">
        <v>13</v>
      </c>
      <c r="D821" s="3">
        <v>11.0565</v>
      </c>
      <c r="E821" s="3">
        <v>0.56999999999999995</v>
      </c>
      <c r="F821">
        <v>0</v>
      </c>
      <c r="G821">
        <v>-12</v>
      </c>
      <c r="H821" s="6">
        <v>0</v>
      </c>
    </row>
    <row r="822" spans="1:8" x14ac:dyDescent="0.2">
      <c r="A822" t="s">
        <v>76</v>
      </c>
      <c r="B822">
        <v>2006</v>
      </c>
      <c r="C822">
        <v>14</v>
      </c>
      <c r="D822" s="3">
        <v>12.745900000000001</v>
      </c>
      <c r="E822" s="3">
        <v>-1</v>
      </c>
      <c r="F822">
        <v>0</v>
      </c>
      <c r="G822">
        <v>-4</v>
      </c>
      <c r="H822" s="6">
        <v>0</v>
      </c>
    </row>
    <row r="823" spans="1:8" x14ac:dyDescent="0.2">
      <c r="A823" t="s">
        <v>464</v>
      </c>
      <c r="B823">
        <v>2006</v>
      </c>
      <c r="C823">
        <v>14</v>
      </c>
      <c r="D823" s="3">
        <v>9.7484999999999999</v>
      </c>
      <c r="E823" s="3">
        <v>-4.12</v>
      </c>
      <c r="F823">
        <v>0</v>
      </c>
      <c r="G823">
        <v>-26</v>
      </c>
      <c r="H823" s="6">
        <v>0</v>
      </c>
    </row>
    <row r="824" spans="1:8" x14ac:dyDescent="0.2">
      <c r="A824" t="s">
        <v>71</v>
      </c>
      <c r="B824">
        <v>2006</v>
      </c>
      <c r="C824">
        <v>14</v>
      </c>
      <c r="D824" s="3">
        <v>8.1077999999999992</v>
      </c>
      <c r="E824" s="3">
        <v>4.88</v>
      </c>
      <c r="F824">
        <v>0</v>
      </c>
      <c r="G824">
        <v>-4</v>
      </c>
      <c r="H824" s="6">
        <v>0</v>
      </c>
    </row>
    <row r="825" spans="1:8" x14ac:dyDescent="0.2">
      <c r="A825" t="s">
        <v>0</v>
      </c>
      <c r="B825">
        <v>2006</v>
      </c>
      <c r="C825">
        <v>14</v>
      </c>
      <c r="D825" s="3">
        <v>7.0420999999999996</v>
      </c>
      <c r="E825" s="3">
        <v>5.77</v>
      </c>
      <c r="F825">
        <v>1</v>
      </c>
      <c r="G825">
        <v>-12</v>
      </c>
      <c r="H825" s="6">
        <v>1</v>
      </c>
    </row>
    <row r="826" spans="1:8" x14ac:dyDescent="0.2">
      <c r="A826" t="s">
        <v>468</v>
      </c>
      <c r="B826">
        <v>2006</v>
      </c>
      <c r="C826">
        <v>15</v>
      </c>
      <c r="D826" s="3">
        <v>9.2987000000000002</v>
      </c>
      <c r="E826" s="3">
        <v>6.27</v>
      </c>
      <c r="F826">
        <v>0</v>
      </c>
      <c r="G826">
        <v>-2</v>
      </c>
      <c r="H826" s="6">
        <v>0</v>
      </c>
    </row>
    <row r="827" spans="1:8" x14ac:dyDescent="0.2">
      <c r="A827" t="s">
        <v>544</v>
      </c>
      <c r="B827">
        <v>2006</v>
      </c>
      <c r="C827">
        <v>15</v>
      </c>
      <c r="D827" s="3">
        <v>7.0083000000000002</v>
      </c>
      <c r="E827" s="3">
        <v>4.7</v>
      </c>
      <c r="F827">
        <v>0</v>
      </c>
      <c r="G827">
        <v>-8</v>
      </c>
      <c r="H827" s="6">
        <v>0</v>
      </c>
    </row>
    <row r="828" spans="1:8" x14ac:dyDescent="0.2">
      <c r="A828" t="s">
        <v>51</v>
      </c>
      <c r="B828">
        <v>2006</v>
      </c>
      <c r="C828">
        <v>15</v>
      </c>
      <c r="D828" s="3">
        <v>4.7599</v>
      </c>
      <c r="E828" s="3">
        <v>8.49</v>
      </c>
      <c r="F828">
        <v>0</v>
      </c>
      <c r="G828">
        <v>-8</v>
      </c>
      <c r="H828" s="6">
        <v>0</v>
      </c>
    </row>
    <row r="829" spans="1:8" x14ac:dyDescent="0.2">
      <c r="A829" t="s">
        <v>42</v>
      </c>
      <c r="B829">
        <v>2006</v>
      </c>
      <c r="C829">
        <v>15</v>
      </c>
      <c r="D829" s="3">
        <v>0.32990000000000003</v>
      </c>
      <c r="E829" s="3">
        <v>3.6</v>
      </c>
      <c r="F829">
        <v>0</v>
      </c>
      <c r="G829">
        <v>-34</v>
      </c>
      <c r="H829" s="6">
        <v>0</v>
      </c>
    </row>
    <row r="830" spans="1:8" x14ac:dyDescent="0.2">
      <c r="A830" t="s">
        <v>466</v>
      </c>
      <c r="B830">
        <v>2006</v>
      </c>
      <c r="C830">
        <v>16</v>
      </c>
      <c r="D830" s="3">
        <v>5.9085999999999999</v>
      </c>
      <c r="E830" s="3">
        <v>5.45</v>
      </c>
      <c r="F830">
        <v>0</v>
      </c>
      <c r="G830">
        <v>-16</v>
      </c>
      <c r="H830" s="6">
        <v>0</v>
      </c>
    </row>
    <row r="831" spans="1:8" x14ac:dyDescent="0.2">
      <c r="A831" t="s">
        <v>56</v>
      </c>
      <c r="B831">
        <v>2006</v>
      </c>
      <c r="C831">
        <v>16</v>
      </c>
      <c r="D831" s="3">
        <v>2.2955000000000001</v>
      </c>
      <c r="E831" s="3">
        <v>-0.96</v>
      </c>
      <c r="F831">
        <v>0</v>
      </c>
      <c r="G831">
        <v>-13</v>
      </c>
      <c r="H831" s="6">
        <v>0</v>
      </c>
    </row>
    <row r="832" spans="1:8" x14ac:dyDescent="0.2">
      <c r="A832" t="s">
        <v>621</v>
      </c>
      <c r="B832">
        <v>2006</v>
      </c>
      <c r="C832">
        <v>16</v>
      </c>
      <c r="D832" s="3">
        <v>-1.9145000000000001</v>
      </c>
      <c r="E832" s="3">
        <v>1.7</v>
      </c>
      <c r="F832">
        <v>0</v>
      </c>
      <c r="G832">
        <v>-13</v>
      </c>
      <c r="H832" s="6">
        <v>0</v>
      </c>
    </row>
    <row r="833" spans="1:8" x14ac:dyDescent="0.2">
      <c r="A833" t="s">
        <v>58</v>
      </c>
      <c r="B833">
        <v>2006</v>
      </c>
      <c r="C833">
        <v>16</v>
      </c>
      <c r="D833" s="3">
        <v>-3.6634000000000002</v>
      </c>
      <c r="E833" s="3">
        <v>8.81</v>
      </c>
      <c r="F833">
        <v>0</v>
      </c>
      <c r="G833">
        <v>-16</v>
      </c>
      <c r="H833" s="6">
        <v>0</v>
      </c>
    </row>
    <row r="834" spans="1:8" x14ac:dyDescent="0.2">
      <c r="A834" t="s">
        <v>27</v>
      </c>
      <c r="B834">
        <v>2005</v>
      </c>
      <c r="C834">
        <v>1</v>
      </c>
      <c r="D834" s="3">
        <v>32.396799999999999</v>
      </c>
      <c r="E834" s="3">
        <v>2.5099999999999998</v>
      </c>
      <c r="F834">
        <v>5</v>
      </c>
      <c r="G834">
        <v>49</v>
      </c>
      <c r="H834" s="6">
        <f>(54/5)</f>
        <v>10.8</v>
      </c>
    </row>
    <row r="835" spans="1:8" x14ac:dyDescent="0.2">
      <c r="A835" t="s">
        <v>29</v>
      </c>
      <c r="B835">
        <v>2005</v>
      </c>
      <c r="C835">
        <v>1</v>
      </c>
      <c r="D835" s="3">
        <v>31.4544</v>
      </c>
      <c r="E835" s="3">
        <v>5.89</v>
      </c>
      <c r="F835">
        <v>6</v>
      </c>
      <c r="G835">
        <v>83</v>
      </c>
      <c r="H835" s="6">
        <f>(83/6)</f>
        <v>13.833333333333334</v>
      </c>
    </row>
    <row r="836" spans="1:8" x14ac:dyDescent="0.2">
      <c r="A836" t="s">
        <v>6</v>
      </c>
      <c r="B836">
        <v>2005</v>
      </c>
      <c r="C836">
        <v>1</v>
      </c>
      <c r="D836" s="3">
        <v>28.084399999999999</v>
      </c>
      <c r="E836" s="3">
        <v>4.0199999999999996</v>
      </c>
      <c r="F836">
        <v>2</v>
      </c>
      <c r="G836">
        <v>9</v>
      </c>
      <c r="H836" s="6">
        <f>(19/2)</f>
        <v>9.5</v>
      </c>
    </row>
    <row r="837" spans="1:8" x14ac:dyDescent="0.2">
      <c r="A837" t="s">
        <v>221</v>
      </c>
      <c r="B837">
        <v>2005</v>
      </c>
      <c r="C837">
        <v>1</v>
      </c>
      <c r="D837" s="3">
        <v>22.278600000000001</v>
      </c>
      <c r="E837" s="3">
        <v>7.81</v>
      </c>
      <c r="F837">
        <v>2</v>
      </c>
      <c r="G837">
        <v>15</v>
      </c>
      <c r="H837" s="6">
        <f>(29/2)</f>
        <v>14.5</v>
      </c>
    </row>
    <row r="838" spans="1:8" x14ac:dyDescent="0.2">
      <c r="A838" t="s">
        <v>19</v>
      </c>
      <c r="B838">
        <v>2005</v>
      </c>
      <c r="C838">
        <v>2</v>
      </c>
      <c r="D838" s="3">
        <v>25.370699999999999</v>
      </c>
      <c r="E838" s="3">
        <v>6.18</v>
      </c>
      <c r="F838">
        <v>2</v>
      </c>
      <c r="G838">
        <v>20</v>
      </c>
      <c r="H838" s="6">
        <f>(21/2)</f>
        <v>10.5</v>
      </c>
    </row>
    <row r="839" spans="1:8" x14ac:dyDescent="0.2">
      <c r="A839" t="s">
        <v>305</v>
      </c>
      <c r="B839">
        <v>2005</v>
      </c>
      <c r="C839">
        <v>2</v>
      </c>
      <c r="D839" s="3">
        <v>25.3371</v>
      </c>
      <c r="E839" s="3">
        <v>6.33</v>
      </c>
      <c r="F839">
        <v>1</v>
      </c>
      <c r="G839">
        <v>10</v>
      </c>
      <c r="H839" s="6">
        <v>16</v>
      </c>
    </row>
    <row r="840" spans="1:8" x14ac:dyDescent="0.2">
      <c r="A840" t="s">
        <v>66</v>
      </c>
      <c r="B840">
        <v>2005</v>
      </c>
      <c r="C840">
        <v>2</v>
      </c>
      <c r="D840" s="3">
        <v>24.5245</v>
      </c>
      <c r="E840" s="3">
        <v>1.23</v>
      </c>
      <c r="F840">
        <v>3</v>
      </c>
      <c r="G840">
        <v>21</v>
      </c>
      <c r="H840" s="6">
        <f>(27/3)</f>
        <v>9</v>
      </c>
    </row>
    <row r="841" spans="1:8" x14ac:dyDescent="0.2">
      <c r="A841" t="s">
        <v>90</v>
      </c>
      <c r="B841">
        <v>2005</v>
      </c>
      <c r="C841">
        <v>2</v>
      </c>
      <c r="D841" s="3">
        <v>22.1736</v>
      </c>
      <c r="E841" s="3">
        <v>2.38</v>
      </c>
      <c r="F841">
        <v>1</v>
      </c>
      <c r="G841">
        <v>3</v>
      </c>
      <c r="H841" s="6">
        <v>6</v>
      </c>
    </row>
    <row r="842" spans="1:8" x14ac:dyDescent="0.2">
      <c r="A842" t="s">
        <v>4</v>
      </c>
      <c r="B842">
        <v>2005</v>
      </c>
      <c r="C842">
        <v>3</v>
      </c>
      <c r="D842" s="3">
        <v>23.4834</v>
      </c>
      <c r="E842" s="3">
        <v>13.9</v>
      </c>
      <c r="F842">
        <v>0</v>
      </c>
      <c r="G842">
        <v>-1</v>
      </c>
      <c r="H842" s="6">
        <v>0</v>
      </c>
    </row>
    <row r="843" spans="1:8" x14ac:dyDescent="0.2">
      <c r="A843" t="s">
        <v>38</v>
      </c>
      <c r="B843">
        <v>2005</v>
      </c>
      <c r="C843">
        <v>3</v>
      </c>
      <c r="D843" s="3">
        <v>23.043800000000001</v>
      </c>
      <c r="E843" s="3">
        <v>2.61</v>
      </c>
      <c r="F843">
        <v>1</v>
      </c>
      <c r="G843">
        <v>8</v>
      </c>
      <c r="H843" s="6">
        <v>17</v>
      </c>
    </row>
    <row r="844" spans="1:8" x14ac:dyDescent="0.2">
      <c r="A844" t="s">
        <v>21</v>
      </c>
      <c r="B844">
        <v>2005</v>
      </c>
      <c r="C844">
        <v>3</v>
      </c>
      <c r="D844" s="3">
        <v>20.2545</v>
      </c>
      <c r="E844" s="3">
        <v>5.41</v>
      </c>
      <c r="F844">
        <v>3</v>
      </c>
      <c r="G844">
        <v>35</v>
      </c>
      <c r="H844" s="6">
        <f>(36/3)</f>
        <v>12</v>
      </c>
    </row>
    <row r="845" spans="1:8" x14ac:dyDescent="0.2">
      <c r="A845" t="s">
        <v>3</v>
      </c>
      <c r="B845">
        <v>2005</v>
      </c>
      <c r="C845">
        <v>3</v>
      </c>
      <c r="D845" s="3">
        <v>18.102599999999999</v>
      </c>
      <c r="E845" s="3">
        <v>3.96</v>
      </c>
      <c r="F845">
        <v>1</v>
      </c>
      <c r="G845">
        <v>8</v>
      </c>
      <c r="H845" s="6">
        <v>10</v>
      </c>
    </row>
    <row r="846" spans="1:8" x14ac:dyDescent="0.2">
      <c r="A846" t="s">
        <v>1</v>
      </c>
      <c r="B846">
        <v>2005</v>
      </c>
      <c r="C846">
        <v>4</v>
      </c>
      <c r="D846" s="3">
        <v>24.2075</v>
      </c>
      <c r="E846" s="3">
        <v>2.19</v>
      </c>
      <c r="F846">
        <v>4</v>
      </c>
      <c r="G846">
        <v>35</v>
      </c>
      <c r="H846" s="6">
        <f>(50/4)</f>
        <v>12.5</v>
      </c>
    </row>
    <row r="847" spans="1:8" x14ac:dyDescent="0.2">
      <c r="A847" t="s">
        <v>9</v>
      </c>
      <c r="B847">
        <v>2005</v>
      </c>
      <c r="C847">
        <v>4</v>
      </c>
      <c r="D847" s="3">
        <v>23.274100000000001</v>
      </c>
      <c r="E847" s="3">
        <v>-0.8</v>
      </c>
      <c r="F847">
        <v>1</v>
      </c>
      <c r="G847">
        <v>-6</v>
      </c>
      <c r="H847" s="6">
        <v>5</v>
      </c>
    </row>
    <row r="848" spans="1:8" x14ac:dyDescent="0.2">
      <c r="A848" t="s">
        <v>14</v>
      </c>
      <c r="B848">
        <v>2005</v>
      </c>
      <c r="C848">
        <v>4</v>
      </c>
      <c r="D848" s="3">
        <v>20.826000000000001</v>
      </c>
      <c r="E848" s="3">
        <v>-0.44</v>
      </c>
      <c r="F848">
        <v>0</v>
      </c>
      <c r="G848">
        <v>-3</v>
      </c>
      <c r="H848" s="6">
        <v>0</v>
      </c>
    </row>
    <row r="849" spans="1:8" x14ac:dyDescent="0.2">
      <c r="A849" t="s">
        <v>382</v>
      </c>
      <c r="B849">
        <v>2005</v>
      </c>
      <c r="C849">
        <v>4</v>
      </c>
      <c r="D849" s="3">
        <v>17.589099999999998</v>
      </c>
      <c r="E849" s="3">
        <v>-0.24</v>
      </c>
      <c r="F849">
        <v>1</v>
      </c>
      <c r="G849">
        <v>12</v>
      </c>
      <c r="H849" s="6">
        <v>20</v>
      </c>
    </row>
    <row r="850" spans="1:8" x14ac:dyDescent="0.2">
      <c r="A850" t="s">
        <v>10</v>
      </c>
      <c r="B850">
        <v>2005</v>
      </c>
      <c r="C850">
        <v>5</v>
      </c>
      <c r="D850" s="3">
        <v>25.179300000000001</v>
      </c>
      <c r="E850" s="3">
        <v>0.28999999999999998</v>
      </c>
      <c r="F850">
        <v>4</v>
      </c>
      <c r="G850">
        <v>19</v>
      </c>
      <c r="H850" s="6">
        <f>(35/4)</f>
        <v>8.75</v>
      </c>
    </row>
    <row r="851" spans="1:8" x14ac:dyDescent="0.2">
      <c r="A851" t="s">
        <v>34</v>
      </c>
      <c r="B851">
        <v>2005</v>
      </c>
      <c r="C851">
        <v>5</v>
      </c>
      <c r="D851" s="3">
        <v>23.060199999999998</v>
      </c>
      <c r="E851" s="3">
        <v>2.68</v>
      </c>
      <c r="F851">
        <v>2</v>
      </c>
      <c r="G851">
        <v>18</v>
      </c>
      <c r="H851" s="6">
        <f>(19/2)</f>
        <v>9.5</v>
      </c>
    </row>
    <row r="852" spans="1:8" x14ac:dyDescent="0.2">
      <c r="A852" t="s">
        <v>72</v>
      </c>
      <c r="B852">
        <v>2005</v>
      </c>
      <c r="C852">
        <v>5</v>
      </c>
      <c r="D852" s="3">
        <v>20.991900000000001</v>
      </c>
      <c r="E852" s="3">
        <v>1.31</v>
      </c>
      <c r="F852">
        <v>0</v>
      </c>
      <c r="G852">
        <v>-10</v>
      </c>
      <c r="H852" s="6">
        <v>0</v>
      </c>
    </row>
    <row r="853" spans="1:8" x14ac:dyDescent="0.2">
      <c r="A853" t="s">
        <v>306</v>
      </c>
      <c r="B853">
        <v>2005</v>
      </c>
      <c r="C853">
        <v>5</v>
      </c>
      <c r="D853" s="3">
        <v>19.8873</v>
      </c>
      <c r="E853" s="3">
        <v>-1.37</v>
      </c>
      <c r="F853">
        <v>1</v>
      </c>
      <c r="G853">
        <v>-10</v>
      </c>
      <c r="H853" s="6">
        <v>12</v>
      </c>
    </row>
    <row r="854" spans="1:8" x14ac:dyDescent="0.2">
      <c r="A854" t="s">
        <v>17</v>
      </c>
      <c r="B854">
        <v>2005</v>
      </c>
      <c r="C854">
        <v>6</v>
      </c>
      <c r="D854" s="3">
        <v>20.210999999999999</v>
      </c>
      <c r="E854" s="3">
        <v>3.47</v>
      </c>
      <c r="F854">
        <v>3</v>
      </c>
      <c r="G854">
        <v>17</v>
      </c>
      <c r="H854" s="6">
        <f>(23/3)</f>
        <v>7.666666666666667</v>
      </c>
    </row>
    <row r="855" spans="1:8" x14ac:dyDescent="0.2">
      <c r="A855" t="s">
        <v>380</v>
      </c>
      <c r="B855">
        <v>2005</v>
      </c>
      <c r="C855">
        <v>6</v>
      </c>
      <c r="D855" s="3">
        <v>19.7377</v>
      </c>
      <c r="E855" s="3">
        <v>-1.29</v>
      </c>
      <c r="F855">
        <v>2</v>
      </c>
      <c r="G855">
        <v>5</v>
      </c>
      <c r="H855" s="6">
        <f>(15/2)</f>
        <v>7.5</v>
      </c>
    </row>
    <row r="856" spans="1:8" x14ac:dyDescent="0.2">
      <c r="A856" t="s">
        <v>539</v>
      </c>
      <c r="B856">
        <v>2005</v>
      </c>
      <c r="C856">
        <v>6</v>
      </c>
      <c r="D856" s="3">
        <v>15.0861</v>
      </c>
      <c r="E856" s="3">
        <v>-0.9</v>
      </c>
      <c r="F856">
        <v>2</v>
      </c>
      <c r="G856">
        <v>9</v>
      </c>
      <c r="H856" s="6">
        <f>(14/2)</f>
        <v>7</v>
      </c>
    </row>
    <row r="857" spans="1:8" x14ac:dyDescent="0.2">
      <c r="A857" t="s">
        <v>383</v>
      </c>
      <c r="B857">
        <v>2005</v>
      </c>
      <c r="C857">
        <v>6</v>
      </c>
      <c r="D857" s="3">
        <v>14.2475</v>
      </c>
      <c r="E857" s="3">
        <v>3.33</v>
      </c>
      <c r="F857">
        <v>0</v>
      </c>
      <c r="G857">
        <v>-14</v>
      </c>
      <c r="H857" s="6">
        <v>0</v>
      </c>
    </row>
    <row r="858" spans="1:8" x14ac:dyDescent="0.2">
      <c r="A858" t="s">
        <v>37</v>
      </c>
      <c r="B858">
        <v>2005</v>
      </c>
      <c r="C858">
        <v>7</v>
      </c>
      <c r="D858" s="3">
        <v>19.6448</v>
      </c>
      <c r="E858" s="3">
        <v>4.24</v>
      </c>
      <c r="F858">
        <v>1</v>
      </c>
      <c r="G858">
        <v>3</v>
      </c>
      <c r="H858" s="6">
        <v>12</v>
      </c>
    </row>
    <row r="859" spans="1:8" x14ac:dyDescent="0.2">
      <c r="A859" t="s">
        <v>552</v>
      </c>
      <c r="B859">
        <v>2005</v>
      </c>
      <c r="C859">
        <v>7</v>
      </c>
      <c r="D859" s="3">
        <v>16.114699999999999</v>
      </c>
      <c r="E859" s="3">
        <v>3.96</v>
      </c>
      <c r="F859">
        <v>1</v>
      </c>
      <c r="G859">
        <v>1</v>
      </c>
      <c r="H859" s="6">
        <v>9</v>
      </c>
    </row>
    <row r="860" spans="1:8" x14ac:dyDescent="0.2">
      <c r="A860" t="s">
        <v>77</v>
      </c>
      <c r="B860">
        <v>2005</v>
      </c>
      <c r="C860">
        <v>7</v>
      </c>
      <c r="D860" s="3">
        <v>13.520799999999999</v>
      </c>
      <c r="E860" s="3">
        <v>-4.88</v>
      </c>
      <c r="F860">
        <v>3</v>
      </c>
      <c r="G860">
        <v>5</v>
      </c>
      <c r="H860" s="6">
        <f>(13/3)</f>
        <v>4.333333333333333</v>
      </c>
    </row>
    <row r="861" spans="1:8" x14ac:dyDescent="0.2">
      <c r="A861" t="s">
        <v>685</v>
      </c>
      <c r="B861">
        <v>2005</v>
      </c>
      <c r="C861">
        <v>7</v>
      </c>
      <c r="D861" s="3">
        <v>12.0588</v>
      </c>
      <c r="E861" s="3">
        <v>-0.44</v>
      </c>
      <c r="F861">
        <v>0</v>
      </c>
      <c r="G861">
        <v>-12</v>
      </c>
      <c r="H861" s="6">
        <v>0</v>
      </c>
    </row>
    <row r="862" spans="1:8" x14ac:dyDescent="0.2">
      <c r="A862" t="s">
        <v>78</v>
      </c>
      <c r="B862">
        <v>2005</v>
      </c>
      <c r="C862">
        <v>8</v>
      </c>
      <c r="D862" s="3">
        <v>17.3017</v>
      </c>
      <c r="E862" s="3">
        <v>0.78</v>
      </c>
      <c r="F862">
        <v>0</v>
      </c>
      <c r="G862">
        <v>-4</v>
      </c>
      <c r="H862" s="6">
        <v>0</v>
      </c>
    </row>
    <row r="863" spans="1:8" x14ac:dyDescent="0.2">
      <c r="A863" t="s">
        <v>40</v>
      </c>
      <c r="B863">
        <v>2005</v>
      </c>
      <c r="C863">
        <v>8</v>
      </c>
      <c r="D863" s="3">
        <v>14.7478</v>
      </c>
      <c r="E863" s="3">
        <v>-0.13</v>
      </c>
      <c r="F863">
        <v>0</v>
      </c>
      <c r="G863">
        <v>-11</v>
      </c>
      <c r="H863" s="6">
        <v>0</v>
      </c>
    </row>
    <row r="864" spans="1:8" x14ac:dyDescent="0.2">
      <c r="A864" t="s">
        <v>57</v>
      </c>
      <c r="B864">
        <v>2005</v>
      </c>
      <c r="C864">
        <v>8</v>
      </c>
      <c r="D864" s="3">
        <v>13.922499999999999</v>
      </c>
      <c r="E864" s="3">
        <v>1.51</v>
      </c>
      <c r="F864">
        <v>1</v>
      </c>
      <c r="G864">
        <v>-10</v>
      </c>
      <c r="H864" s="6">
        <v>8</v>
      </c>
    </row>
    <row r="865" spans="1:8" x14ac:dyDescent="0.2">
      <c r="A865" t="s">
        <v>459</v>
      </c>
      <c r="B865">
        <v>2005</v>
      </c>
      <c r="C865">
        <v>8</v>
      </c>
      <c r="D865" s="3">
        <v>11.710599999999999</v>
      </c>
      <c r="E865" s="3">
        <v>3.87</v>
      </c>
      <c r="F865">
        <v>0</v>
      </c>
      <c r="G865">
        <v>-23</v>
      </c>
      <c r="H865" s="6">
        <v>0</v>
      </c>
    </row>
    <row r="866" spans="1:8" x14ac:dyDescent="0.2">
      <c r="A866" t="s">
        <v>28</v>
      </c>
      <c r="B866">
        <v>2005</v>
      </c>
      <c r="C866">
        <v>9</v>
      </c>
      <c r="D866" s="3">
        <v>18.411799999999999</v>
      </c>
      <c r="E866" s="3">
        <v>-5.66</v>
      </c>
      <c r="F866">
        <v>0</v>
      </c>
      <c r="G866">
        <v>-8</v>
      </c>
      <c r="H866" s="6">
        <v>0</v>
      </c>
    </row>
    <row r="867" spans="1:8" x14ac:dyDescent="0.2">
      <c r="A867" t="s">
        <v>387</v>
      </c>
      <c r="B867">
        <v>2005</v>
      </c>
      <c r="C867">
        <v>9</v>
      </c>
      <c r="D867" s="3">
        <v>14.0175</v>
      </c>
      <c r="E867" s="3">
        <v>-0.65</v>
      </c>
      <c r="F867">
        <v>1</v>
      </c>
      <c r="G867">
        <v>15</v>
      </c>
      <c r="H867" s="6">
        <v>23</v>
      </c>
    </row>
    <row r="868" spans="1:8" x14ac:dyDescent="0.2">
      <c r="A868" t="s">
        <v>36</v>
      </c>
      <c r="B868">
        <v>2005</v>
      </c>
      <c r="C868">
        <v>9</v>
      </c>
      <c r="D868" s="3">
        <v>12.700100000000001</v>
      </c>
      <c r="E868" s="3">
        <v>0.13</v>
      </c>
      <c r="F868">
        <v>1</v>
      </c>
      <c r="G868">
        <v>-16</v>
      </c>
      <c r="H868" s="6">
        <v>11</v>
      </c>
    </row>
    <row r="869" spans="1:8" x14ac:dyDescent="0.2">
      <c r="A869" t="s">
        <v>538</v>
      </c>
      <c r="B869">
        <v>2005</v>
      </c>
      <c r="C869">
        <v>9</v>
      </c>
      <c r="D869" s="3">
        <v>11.245100000000001</v>
      </c>
      <c r="E869" s="3">
        <v>1.65</v>
      </c>
      <c r="F869">
        <v>1</v>
      </c>
      <c r="G869">
        <v>-8</v>
      </c>
      <c r="H869" s="6">
        <v>4</v>
      </c>
    </row>
    <row r="870" spans="1:8" x14ac:dyDescent="0.2">
      <c r="A870" t="s">
        <v>31</v>
      </c>
      <c r="B870">
        <v>2005</v>
      </c>
      <c r="C870">
        <v>10</v>
      </c>
      <c r="D870" s="3">
        <v>18.5215</v>
      </c>
      <c r="E870" s="3">
        <v>-0.99</v>
      </c>
      <c r="F870">
        <v>2</v>
      </c>
      <c r="G870">
        <v>6</v>
      </c>
      <c r="H870" s="6">
        <f>(15/2)</f>
        <v>7.5</v>
      </c>
    </row>
    <row r="871" spans="1:8" x14ac:dyDescent="0.2">
      <c r="A871" t="s">
        <v>615</v>
      </c>
      <c r="B871">
        <v>2005</v>
      </c>
      <c r="C871">
        <v>10</v>
      </c>
      <c r="D871" s="3">
        <v>17.539000000000001</v>
      </c>
      <c r="E871" s="3">
        <v>6.26</v>
      </c>
      <c r="F871">
        <v>0</v>
      </c>
      <c r="G871">
        <v>-12</v>
      </c>
      <c r="H871" s="6">
        <v>0</v>
      </c>
    </row>
    <row r="872" spans="1:8" x14ac:dyDescent="0.2">
      <c r="A872" t="s">
        <v>25</v>
      </c>
      <c r="B872">
        <v>2005</v>
      </c>
      <c r="C872">
        <v>10</v>
      </c>
      <c r="D872" s="3">
        <v>14.0624</v>
      </c>
      <c r="E872" s="3">
        <v>0.15</v>
      </c>
      <c r="F872">
        <v>0</v>
      </c>
      <c r="G872">
        <v>-2</v>
      </c>
      <c r="H872" s="6">
        <v>0</v>
      </c>
    </row>
    <row r="873" spans="1:8" x14ac:dyDescent="0.2">
      <c r="A873" t="s">
        <v>41</v>
      </c>
      <c r="B873">
        <v>2005</v>
      </c>
      <c r="C873">
        <v>10</v>
      </c>
      <c r="D873" s="3">
        <v>9.6323000000000008</v>
      </c>
      <c r="E873" s="3">
        <v>0.09</v>
      </c>
      <c r="F873">
        <v>0</v>
      </c>
      <c r="G873">
        <v>-9</v>
      </c>
      <c r="H873" s="6">
        <v>0</v>
      </c>
    </row>
    <row r="874" spans="1:8" x14ac:dyDescent="0.2">
      <c r="A874" t="s">
        <v>304</v>
      </c>
      <c r="B874">
        <v>2005</v>
      </c>
      <c r="C874">
        <v>11</v>
      </c>
      <c r="D874" s="3">
        <v>13.1061</v>
      </c>
      <c r="E874" s="3">
        <v>1.54</v>
      </c>
      <c r="F874">
        <v>0</v>
      </c>
      <c r="G874">
        <v>-5</v>
      </c>
      <c r="H874" s="6">
        <v>0</v>
      </c>
    </row>
    <row r="875" spans="1:8" x14ac:dyDescent="0.2">
      <c r="A875" t="s">
        <v>616</v>
      </c>
      <c r="B875">
        <v>2005</v>
      </c>
      <c r="C875">
        <v>11</v>
      </c>
      <c r="D875" s="3">
        <v>12.1015</v>
      </c>
      <c r="E875" s="3">
        <v>2.2400000000000002</v>
      </c>
      <c r="F875">
        <v>1</v>
      </c>
      <c r="G875">
        <v>2</v>
      </c>
      <c r="H875" s="6">
        <v>14</v>
      </c>
    </row>
    <row r="876" spans="1:8" x14ac:dyDescent="0.2">
      <c r="A876" t="s">
        <v>307</v>
      </c>
      <c r="B876">
        <v>2005</v>
      </c>
      <c r="C876">
        <v>11</v>
      </c>
      <c r="D876" s="3">
        <v>11.523400000000001</v>
      </c>
      <c r="E876" s="3">
        <v>-2.4</v>
      </c>
      <c r="F876">
        <v>0</v>
      </c>
      <c r="G876">
        <v>-6</v>
      </c>
      <c r="H876" s="6">
        <v>0</v>
      </c>
    </row>
    <row r="877" spans="1:8" x14ac:dyDescent="0.2">
      <c r="A877" t="s">
        <v>24</v>
      </c>
      <c r="B877">
        <v>2005</v>
      </c>
      <c r="C877">
        <v>11</v>
      </c>
      <c r="D877" s="3">
        <v>11.2646</v>
      </c>
      <c r="E877" s="3">
        <v>3.09</v>
      </c>
      <c r="F877">
        <v>0</v>
      </c>
      <c r="G877">
        <v>-12</v>
      </c>
      <c r="H877" s="6">
        <v>0</v>
      </c>
    </row>
    <row r="878" spans="1:8" x14ac:dyDescent="0.2">
      <c r="A878" t="s">
        <v>11</v>
      </c>
      <c r="B878">
        <v>2005</v>
      </c>
      <c r="C878">
        <v>12</v>
      </c>
      <c r="D878" s="3">
        <v>15.286300000000001</v>
      </c>
      <c r="E878" s="3">
        <v>-7.58</v>
      </c>
      <c r="F878">
        <v>0</v>
      </c>
      <c r="G878">
        <v>-8</v>
      </c>
      <c r="H878" s="6">
        <v>0</v>
      </c>
    </row>
    <row r="879" spans="1:8" x14ac:dyDescent="0.2">
      <c r="A879" t="s">
        <v>540</v>
      </c>
      <c r="B879">
        <v>2005</v>
      </c>
      <c r="C879">
        <v>12</v>
      </c>
      <c r="D879" s="3">
        <v>14.3872</v>
      </c>
      <c r="E879" s="3">
        <v>0.57999999999999996</v>
      </c>
      <c r="F879">
        <v>0</v>
      </c>
      <c r="G879">
        <v>-12</v>
      </c>
      <c r="H879" s="6">
        <v>0</v>
      </c>
    </row>
    <row r="880" spans="1:8" x14ac:dyDescent="0.2">
      <c r="A880" t="s">
        <v>618</v>
      </c>
      <c r="B880">
        <v>2005</v>
      </c>
      <c r="C880">
        <v>12</v>
      </c>
      <c r="D880" s="3">
        <v>12.701000000000001</v>
      </c>
      <c r="E880" s="3">
        <v>3.76</v>
      </c>
      <c r="F880">
        <v>2</v>
      </c>
      <c r="G880">
        <v>4</v>
      </c>
      <c r="H880" s="6">
        <f>(18/2)</f>
        <v>9</v>
      </c>
    </row>
    <row r="881" spans="1:8" x14ac:dyDescent="0.2">
      <c r="A881" t="s">
        <v>224</v>
      </c>
      <c r="B881">
        <v>2005</v>
      </c>
      <c r="C881">
        <v>12</v>
      </c>
      <c r="D881" s="3">
        <v>9.8703000000000003</v>
      </c>
      <c r="E881" s="3">
        <v>-3.89</v>
      </c>
      <c r="F881">
        <v>0</v>
      </c>
      <c r="G881">
        <v>-8</v>
      </c>
      <c r="H881" s="6">
        <v>0</v>
      </c>
    </row>
    <row r="882" spans="1:8" x14ac:dyDescent="0.2">
      <c r="A882" t="s">
        <v>88</v>
      </c>
      <c r="B882">
        <v>2005</v>
      </c>
      <c r="C882">
        <v>13</v>
      </c>
      <c r="D882" s="3">
        <v>13.3919</v>
      </c>
      <c r="E882" s="3">
        <v>3.11</v>
      </c>
      <c r="F882">
        <v>1</v>
      </c>
      <c r="G882">
        <v>-8</v>
      </c>
      <c r="H882" s="6">
        <v>3</v>
      </c>
    </row>
    <row r="883" spans="1:8" x14ac:dyDescent="0.2">
      <c r="A883" t="s">
        <v>544</v>
      </c>
      <c r="B883">
        <v>2005</v>
      </c>
      <c r="C883">
        <v>13</v>
      </c>
      <c r="D883" s="3">
        <v>9.9148999999999994</v>
      </c>
      <c r="E883" s="3">
        <v>2.83</v>
      </c>
      <c r="F883">
        <v>0</v>
      </c>
      <c r="G883">
        <v>-20</v>
      </c>
      <c r="H883" s="6">
        <v>0</v>
      </c>
    </row>
    <row r="884" spans="1:8" x14ac:dyDescent="0.2">
      <c r="A884" t="s">
        <v>686</v>
      </c>
      <c r="B884">
        <v>2005</v>
      </c>
      <c r="C884">
        <v>13</v>
      </c>
      <c r="D884" s="3">
        <v>9.4460999999999995</v>
      </c>
      <c r="E884" s="3">
        <v>7.09</v>
      </c>
      <c r="F884">
        <v>0</v>
      </c>
      <c r="G884">
        <v>-6</v>
      </c>
      <c r="H884" s="6">
        <v>0</v>
      </c>
    </row>
    <row r="885" spans="1:8" x14ac:dyDescent="0.2">
      <c r="A885" t="s">
        <v>81</v>
      </c>
      <c r="B885">
        <v>2005</v>
      </c>
      <c r="C885">
        <v>13</v>
      </c>
      <c r="D885" s="3">
        <v>7.8390000000000004</v>
      </c>
      <c r="E885" s="3">
        <v>-4.26</v>
      </c>
      <c r="F885">
        <v>0</v>
      </c>
      <c r="G885">
        <v>-5</v>
      </c>
      <c r="H885" s="6">
        <v>0</v>
      </c>
    </row>
    <row r="886" spans="1:8" x14ac:dyDescent="0.2">
      <c r="A886" t="s">
        <v>228</v>
      </c>
      <c r="B886">
        <v>2005</v>
      </c>
      <c r="C886">
        <v>14</v>
      </c>
      <c r="D886" s="3">
        <v>19.9376</v>
      </c>
      <c r="E886" s="3">
        <v>-2.2599999999999998</v>
      </c>
      <c r="F886">
        <v>0</v>
      </c>
      <c r="G886">
        <v>-13</v>
      </c>
      <c r="H886" s="6">
        <v>0</v>
      </c>
    </row>
    <row r="887" spans="1:8" x14ac:dyDescent="0.2">
      <c r="A887" t="s">
        <v>43</v>
      </c>
      <c r="B887">
        <v>2005</v>
      </c>
      <c r="C887">
        <v>14</v>
      </c>
      <c r="D887" s="3">
        <v>5.7256999999999998</v>
      </c>
      <c r="E887" s="3">
        <v>1.19</v>
      </c>
      <c r="F887">
        <v>1</v>
      </c>
      <c r="G887">
        <v>-8</v>
      </c>
      <c r="H887" s="6">
        <v>1</v>
      </c>
    </row>
    <row r="888" spans="1:8" x14ac:dyDescent="0.2">
      <c r="A888" t="s">
        <v>547</v>
      </c>
      <c r="B888">
        <v>2005</v>
      </c>
      <c r="C888">
        <v>14</v>
      </c>
      <c r="D888" s="3">
        <v>5.3917000000000002</v>
      </c>
      <c r="E888" s="3">
        <v>0.86</v>
      </c>
      <c r="F888">
        <v>0</v>
      </c>
      <c r="G888">
        <v>-17</v>
      </c>
      <c r="H888" s="6">
        <v>0</v>
      </c>
    </row>
    <row r="889" spans="1:8" x14ac:dyDescent="0.2">
      <c r="A889" t="s">
        <v>468</v>
      </c>
      <c r="B889">
        <v>2005</v>
      </c>
      <c r="C889">
        <v>14</v>
      </c>
      <c r="D889" s="3">
        <v>4.9311999999999996</v>
      </c>
      <c r="E889" s="3">
        <v>7.0000000000000007E-2</v>
      </c>
      <c r="F889">
        <v>0</v>
      </c>
      <c r="G889">
        <v>-10</v>
      </c>
      <c r="H889" s="6">
        <v>0</v>
      </c>
    </row>
    <row r="890" spans="1:8" x14ac:dyDescent="0.2">
      <c r="A890" t="s">
        <v>687</v>
      </c>
      <c r="B890">
        <v>2005</v>
      </c>
      <c r="C890">
        <v>15</v>
      </c>
      <c r="D890" s="3">
        <v>2.4634999999999998</v>
      </c>
      <c r="E890" s="3">
        <v>-6.07</v>
      </c>
      <c r="F890">
        <v>0</v>
      </c>
      <c r="G890">
        <v>-13</v>
      </c>
      <c r="H890" s="6">
        <v>0</v>
      </c>
    </row>
    <row r="891" spans="1:8" x14ac:dyDescent="0.2">
      <c r="A891" t="s">
        <v>548</v>
      </c>
      <c r="B891">
        <v>2005</v>
      </c>
      <c r="C891">
        <v>15</v>
      </c>
      <c r="D891" s="3">
        <v>1.3217000000000001</v>
      </c>
      <c r="E891" s="3">
        <v>-3.75</v>
      </c>
      <c r="F891">
        <v>0</v>
      </c>
      <c r="G891">
        <v>-8</v>
      </c>
      <c r="H891" s="6">
        <v>0</v>
      </c>
    </row>
    <row r="892" spans="1:8" x14ac:dyDescent="0.2">
      <c r="A892" t="s">
        <v>395</v>
      </c>
      <c r="B892">
        <v>2005</v>
      </c>
      <c r="C892">
        <v>15</v>
      </c>
      <c r="D892" s="3">
        <v>-0.41899999999999998</v>
      </c>
      <c r="E892" s="3">
        <v>2.4300000000000002</v>
      </c>
      <c r="F892">
        <v>0</v>
      </c>
      <c r="G892">
        <v>-16</v>
      </c>
      <c r="H892" s="6">
        <v>0</v>
      </c>
    </row>
    <row r="893" spans="1:8" x14ac:dyDescent="0.2">
      <c r="A893" t="s">
        <v>688</v>
      </c>
      <c r="B893">
        <v>2005</v>
      </c>
      <c r="C893">
        <v>15</v>
      </c>
      <c r="D893" s="3">
        <v>-3.2503000000000002</v>
      </c>
      <c r="E893" s="3">
        <v>-2.33</v>
      </c>
      <c r="F893">
        <v>0</v>
      </c>
      <c r="G893">
        <v>-6</v>
      </c>
      <c r="H893" s="6">
        <v>0</v>
      </c>
    </row>
    <row r="894" spans="1:8" x14ac:dyDescent="0.2">
      <c r="A894" t="s">
        <v>690</v>
      </c>
      <c r="B894">
        <v>2005</v>
      </c>
      <c r="C894">
        <v>16</v>
      </c>
      <c r="D894" s="3">
        <v>5.2846000000000002</v>
      </c>
      <c r="E894" s="3">
        <v>4.84</v>
      </c>
      <c r="F894">
        <v>0</v>
      </c>
      <c r="G894">
        <v>-11</v>
      </c>
      <c r="H894" s="6">
        <v>0</v>
      </c>
    </row>
    <row r="895" spans="1:8" x14ac:dyDescent="0.2">
      <c r="A895" t="s">
        <v>231</v>
      </c>
      <c r="B895">
        <v>2005</v>
      </c>
      <c r="C895">
        <v>16</v>
      </c>
      <c r="D895" s="3">
        <v>-0.97250000000000003</v>
      </c>
      <c r="E895" s="3">
        <v>10.38</v>
      </c>
      <c r="F895">
        <v>0</v>
      </c>
      <c r="G895">
        <v>-28</v>
      </c>
      <c r="H895" s="6">
        <v>0</v>
      </c>
    </row>
    <row r="896" spans="1:8" x14ac:dyDescent="0.2">
      <c r="A896" t="s">
        <v>59</v>
      </c>
      <c r="B896">
        <v>2005</v>
      </c>
      <c r="C896">
        <v>16</v>
      </c>
      <c r="D896" s="3">
        <v>-2.8854000000000002</v>
      </c>
      <c r="E896" s="3">
        <v>2.83</v>
      </c>
      <c r="F896">
        <v>0</v>
      </c>
      <c r="G896">
        <v>-11</v>
      </c>
      <c r="H896" s="6">
        <v>0</v>
      </c>
    </row>
    <row r="897" spans="1:8" x14ac:dyDescent="0.2">
      <c r="A897" t="s">
        <v>689</v>
      </c>
      <c r="B897">
        <v>2005</v>
      </c>
      <c r="C897">
        <v>16</v>
      </c>
      <c r="D897" s="3">
        <v>-3.0472000000000001</v>
      </c>
      <c r="E897" s="3">
        <v>-1.27</v>
      </c>
      <c r="F897">
        <v>0</v>
      </c>
      <c r="G897">
        <v>-12</v>
      </c>
      <c r="H897" s="6">
        <v>0</v>
      </c>
    </row>
    <row r="898" spans="1:8" x14ac:dyDescent="0.2">
      <c r="A898" t="s">
        <v>6</v>
      </c>
      <c r="B898">
        <v>2004</v>
      </c>
      <c r="C898">
        <v>1</v>
      </c>
      <c r="D898" s="3">
        <v>31.841100000000001</v>
      </c>
      <c r="E898" s="3">
        <v>4.67</v>
      </c>
      <c r="F898">
        <v>4</v>
      </c>
      <c r="G898">
        <v>75</v>
      </c>
      <c r="H898" s="6">
        <f>(76/4)</f>
        <v>19</v>
      </c>
    </row>
    <row r="899" spans="1:8" x14ac:dyDescent="0.2">
      <c r="A899" t="s">
        <v>465</v>
      </c>
      <c r="B899">
        <v>2004</v>
      </c>
      <c r="C899">
        <v>1</v>
      </c>
      <c r="D899" s="3">
        <v>27.207100000000001</v>
      </c>
      <c r="E899" s="3">
        <v>7.17</v>
      </c>
      <c r="F899">
        <v>3</v>
      </c>
      <c r="G899">
        <v>26</v>
      </c>
      <c r="H899" s="6">
        <f>(28/3)</f>
        <v>9.3333333333333339</v>
      </c>
    </row>
    <row r="900" spans="1:8" x14ac:dyDescent="0.2">
      <c r="A900" t="s">
        <v>66</v>
      </c>
      <c r="B900">
        <v>2004</v>
      </c>
      <c r="C900">
        <v>1</v>
      </c>
      <c r="D900" s="3">
        <v>23.395399999999999</v>
      </c>
      <c r="E900" s="3">
        <v>5.07</v>
      </c>
      <c r="F900">
        <v>1</v>
      </c>
      <c r="G900">
        <v>19</v>
      </c>
      <c r="H900" s="6">
        <v>20</v>
      </c>
    </row>
    <row r="901" spans="1:8" x14ac:dyDescent="0.2">
      <c r="A901" t="s">
        <v>459</v>
      </c>
      <c r="B901">
        <v>2004</v>
      </c>
      <c r="C901">
        <v>1</v>
      </c>
      <c r="D901" s="3">
        <v>22.560300000000002</v>
      </c>
      <c r="E901" s="3">
        <v>0</v>
      </c>
      <c r="F901">
        <v>1</v>
      </c>
      <c r="G901">
        <v>23</v>
      </c>
      <c r="H901" s="6">
        <v>26</v>
      </c>
    </row>
    <row r="902" spans="1:8" x14ac:dyDescent="0.2">
      <c r="A902" t="s">
        <v>3</v>
      </c>
      <c r="B902">
        <v>2004</v>
      </c>
      <c r="C902">
        <v>2</v>
      </c>
      <c r="D902" s="3">
        <v>26.083200000000001</v>
      </c>
      <c r="E902" s="3">
        <v>7.86</v>
      </c>
      <c r="F902">
        <v>1</v>
      </c>
      <c r="G902">
        <v>8</v>
      </c>
      <c r="H902" s="6">
        <v>27</v>
      </c>
    </row>
    <row r="903" spans="1:8" x14ac:dyDescent="0.2">
      <c r="A903" t="s">
        <v>90</v>
      </c>
      <c r="B903">
        <v>2004</v>
      </c>
      <c r="C903">
        <v>2</v>
      </c>
      <c r="D903" s="3">
        <v>25.221</v>
      </c>
      <c r="E903" s="3">
        <v>1.63</v>
      </c>
      <c r="F903">
        <v>6</v>
      </c>
      <c r="G903">
        <v>80</v>
      </c>
      <c r="H903" s="6">
        <f>(80/6)</f>
        <v>13.333333333333334</v>
      </c>
    </row>
    <row r="904" spans="1:8" x14ac:dyDescent="0.2">
      <c r="A904" t="s">
        <v>19</v>
      </c>
      <c r="B904">
        <v>2004</v>
      </c>
      <c r="C904">
        <v>2</v>
      </c>
      <c r="D904" s="3">
        <v>23.422599999999999</v>
      </c>
      <c r="E904" s="3">
        <v>-1.95</v>
      </c>
      <c r="F904">
        <v>4</v>
      </c>
      <c r="G904">
        <v>48</v>
      </c>
      <c r="H904" s="6">
        <f>(50/4)</f>
        <v>12.5</v>
      </c>
    </row>
    <row r="905" spans="1:8" x14ac:dyDescent="0.2">
      <c r="A905" t="s">
        <v>387</v>
      </c>
      <c r="B905">
        <v>2004</v>
      </c>
      <c r="C905">
        <v>2</v>
      </c>
      <c r="D905" s="3">
        <v>22.061599999999999</v>
      </c>
      <c r="E905" s="3">
        <v>-1.19</v>
      </c>
      <c r="F905">
        <v>1</v>
      </c>
      <c r="G905">
        <v>18</v>
      </c>
      <c r="H905" s="6">
        <v>33</v>
      </c>
    </row>
    <row r="906" spans="1:8" x14ac:dyDescent="0.2">
      <c r="A906" t="s">
        <v>28</v>
      </c>
      <c r="B906">
        <v>2004</v>
      </c>
      <c r="C906">
        <v>3</v>
      </c>
      <c r="D906" s="3">
        <v>25.4739</v>
      </c>
      <c r="E906" s="3">
        <v>-3.09</v>
      </c>
      <c r="F906">
        <v>2</v>
      </c>
      <c r="G906">
        <v>1</v>
      </c>
      <c r="H906" s="6">
        <f>(13/2)</f>
        <v>6.5</v>
      </c>
    </row>
    <row r="907" spans="1:8" x14ac:dyDescent="0.2">
      <c r="A907" t="s">
        <v>306</v>
      </c>
      <c r="B907">
        <v>2004</v>
      </c>
      <c r="C907">
        <v>3</v>
      </c>
      <c r="D907" s="3">
        <v>24.25</v>
      </c>
      <c r="E907" s="3">
        <v>2</v>
      </c>
      <c r="F907">
        <v>5</v>
      </c>
      <c r="G907">
        <v>14</v>
      </c>
      <c r="H907" s="6">
        <f>(23/5)</f>
        <v>4.5999999999999996</v>
      </c>
    </row>
    <row r="908" spans="1:8" x14ac:dyDescent="0.2">
      <c r="A908" t="s">
        <v>31</v>
      </c>
      <c r="B908">
        <v>2004</v>
      </c>
      <c r="C908">
        <v>3</v>
      </c>
      <c r="D908" s="3">
        <v>23.6356</v>
      </c>
      <c r="E908" s="3">
        <v>2.37</v>
      </c>
      <c r="F908">
        <v>1</v>
      </c>
      <c r="G908">
        <v>7</v>
      </c>
      <c r="H908" s="6">
        <v>9</v>
      </c>
    </row>
    <row r="909" spans="1:8" x14ac:dyDescent="0.2">
      <c r="A909" t="s">
        <v>78</v>
      </c>
      <c r="B909">
        <v>2004</v>
      </c>
      <c r="C909">
        <v>3</v>
      </c>
      <c r="D909" s="3">
        <v>20.732399999999998</v>
      </c>
      <c r="E909" s="3">
        <v>4.72</v>
      </c>
      <c r="F909">
        <v>2</v>
      </c>
      <c r="G909">
        <v>12</v>
      </c>
      <c r="H909" s="6">
        <f>(20/2)</f>
        <v>10</v>
      </c>
    </row>
    <row r="910" spans="1:8" x14ac:dyDescent="0.2">
      <c r="A910" t="s">
        <v>37</v>
      </c>
      <c r="B910">
        <v>2004</v>
      </c>
      <c r="C910">
        <v>4</v>
      </c>
      <c r="D910" s="3">
        <v>23.3764</v>
      </c>
      <c r="E910" s="3">
        <v>3.07</v>
      </c>
      <c r="F910">
        <v>1</v>
      </c>
      <c r="G910">
        <v>-21</v>
      </c>
      <c r="H910" s="6">
        <v>3</v>
      </c>
    </row>
    <row r="911" spans="1:8" x14ac:dyDescent="0.2">
      <c r="A911" t="s">
        <v>305</v>
      </c>
      <c r="B911">
        <v>2004</v>
      </c>
      <c r="C911">
        <v>4</v>
      </c>
      <c r="D911" s="3">
        <v>21.840399999999999</v>
      </c>
      <c r="E911" s="3">
        <v>3.83</v>
      </c>
      <c r="F911">
        <v>2</v>
      </c>
      <c r="G911">
        <v>1</v>
      </c>
      <c r="H911" s="6">
        <f>(5/2)</f>
        <v>2.5</v>
      </c>
    </row>
    <row r="912" spans="1:8" x14ac:dyDescent="0.2">
      <c r="A912" t="s">
        <v>303</v>
      </c>
      <c r="B912">
        <v>2004</v>
      </c>
      <c r="C912">
        <v>4</v>
      </c>
      <c r="D912" s="3">
        <v>18.817900000000002</v>
      </c>
      <c r="E912" s="3">
        <v>3.02</v>
      </c>
      <c r="F912">
        <v>1</v>
      </c>
      <c r="G912">
        <v>1</v>
      </c>
      <c r="H912" s="6">
        <v>3</v>
      </c>
    </row>
    <row r="913" spans="1:8" x14ac:dyDescent="0.2">
      <c r="A913" t="s">
        <v>4</v>
      </c>
      <c r="B913">
        <v>2004</v>
      </c>
      <c r="C913">
        <v>4</v>
      </c>
      <c r="D913" s="3">
        <v>17.868400000000001</v>
      </c>
      <c r="E913" s="3">
        <v>8.4</v>
      </c>
      <c r="F913">
        <v>3</v>
      </c>
      <c r="G913">
        <v>67</v>
      </c>
      <c r="H913" s="6">
        <f>(75/3)</f>
        <v>25</v>
      </c>
    </row>
    <row r="914" spans="1:8" x14ac:dyDescent="0.2">
      <c r="A914" t="s">
        <v>9</v>
      </c>
      <c r="B914">
        <v>2004</v>
      </c>
      <c r="C914">
        <v>5</v>
      </c>
      <c r="D914" s="3">
        <v>20.0105</v>
      </c>
      <c r="E914" s="3">
        <v>3.79</v>
      </c>
      <c r="F914">
        <v>0</v>
      </c>
      <c r="G914">
        <v>-15</v>
      </c>
      <c r="H914" s="6">
        <v>0</v>
      </c>
    </row>
    <row r="915" spans="1:8" x14ac:dyDescent="0.2">
      <c r="A915" t="s">
        <v>27</v>
      </c>
      <c r="B915">
        <v>2004</v>
      </c>
      <c r="C915">
        <v>5</v>
      </c>
      <c r="D915" s="3">
        <v>19.629899999999999</v>
      </c>
      <c r="E915" s="3">
        <v>4.32</v>
      </c>
      <c r="F915">
        <v>2</v>
      </c>
      <c r="G915">
        <v>33</v>
      </c>
      <c r="H915" s="6">
        <f>(43/2)</f>
        <v>21.5</v>
      </c>
    </row>
    <row r="916" spans="1:8" x14ac:dyDescent="0.2">
      <c r="A916" t="s">
        <v>754</v>
      </c>
      <c r="B916">
        <v>2004</v>
      </c>
      <c r="C916">
        <v>5</v>
      </c>
      <c r="D916" s="3">
        <v>18.320799999999998</v>
      </c>
      <c r="E916" s="3">
        <v>5.81</v>
      </c>
      <c r="F916">
        <v>0</v>
      </c>
      <c r="G916">
        <v>-8</v>
      </c>
      <c r="H916" s="6">
        <v>0</v>
      </c>
    </row>
    <row r="917" spans="1:8" x14ac:dyDescent="0.2">
      <c r="A917" t="s">
        <v>14</v>
      </c>
      <c r="B917">
        <v>2004</v>
      </c>
      <c r="C917">
        <v>5</v>
      </c>
      <c r="D917" s="3">
        <v>15.3156</v>
      </c>
      <c r="E917" s="3">
        <v>-0.26</v>
      </c>
      <c r="F917">
        <v>2</v>
      </c>
      <c r="G917">
        <v>-2</v>
      </c>
      <c r="H917" s="6">
        <f>(7/2)</f>
        <v>3.5</v>
      </c>
    </row>
    <row r="918" spans="1:8" x14ac:dyDescent="0.2">
      <c r="A918" t="s">
        <v>17</v>
      </c>
      <c r="B918">
        <v>2004</v>
      </c>
      <c r="C918">
        <v>6</v>
      </c>
      <c r="D918" s="3">
        <v>23.162600000000001</v>
      </c>
      <c r="E918" s="3">
        <v>5.88</v>
      </c>
      <c r="F918">
        <v>1</v>
      </c>
      <c r="G918">
        <v>8</v>
      </c>
      <c r="H918" s="6">
        <v>12</v>
      </c>
    </row>
    <row r="919" spans="1:8" x14ac:dyDescent="0.2">
      <c r="A919" t="s">
        <v>29</v>
      </c>
      <c r="B919">
        <v>2004</v>
      </c>
      <c r="C919">
        <v>6</v>
      </c>
      <c r="D919" s="3">
        <v>22.479800000000001</v>
      </c>
      <c r="E919" s="3">
        <v>5.5</v>
      </c>
      <c r="F919">
        <v>1</v>
      </c>
      <c r="G919">
        <v>8</v>
      </c>
      <c r="H919" s="6">
        <v>11</v>
      </c>
    </row>
    <row r="920" spans="1:8" x14ac:dyDescent="0.2">
      <c r="A920" t="s">
        <v>70</v>
      </c>
      <c r="B920">
        <v>2004</v>
      </c>
      <c r="C920">
        <v>6</v>
      </c>
      <c r="D920" s="3">
        <v>18.460599999999999</v>
      </c>
      <c r="E920" s="3">
        <v>-2.82</v>
      </c>
      <c r="F920">
        <v>2</v>
      </c>
      <c r="G920">
        <v>-5</v>
      </c>
      <c r="H920" s="6">
        <f>(15/2)</f>
        <v>7.5</v>
      </c>
    </row>
    <row r="921" spans="1:8" x14ac:dyDescent="0.2">
      <c r="A921" t="s">
        <v>382</v>
      </c>
      <c r="B921">
        <v>2004</v>
      </c>
      <c r="C921">
        <v>6</v>
      </c>
      <c r="D921" s="3">
        <v>14.195399999999999</v>
      </c>
      <c r="E921" s="8">
        <v>0.9</v>
      </c>
      <c r="F921">
        <v>1</v>
      </c>
      <c r="G921">
        <v>4</v>
      </c>
      <c r="H921" s="6">
        <v>7</v>
      </c>
    </row>
    <row r="922" spans="1:8" x14ac:dyDescent="0.2">
      <c r="A922" t="s">
        <v>76</v>
      </c>
      <c r="B922">
        <v>2004</v>
      </c>
      <c r="C922">
        <v>7</v>
      </c>
      <c r="D922" s="3">
        <v>17.509899999999998</v>
      </c>
      <c r="E922" s="3">
        <v>4.0199999999999996</v>
      </c>
      <c r="F922">
        <v>3</v>
      </c>
      <c r="G922">
        <v>30</v>
      </c>
      <c r="H922" s="6">
        <f>(33/3)</f>
        <v>11</v>
      </c>
    </row>
    <row r="923" spans="1:8" x14ac:dyDescent="0.2">
      <c r="A923" t="s">
        <v>22</v>
      </c>
      <c r="B923">
        <v>2004</v>
      </c>
      <c r="C923">
        <v>7</v>
      </c>
      <c r="D923" s="3">
        <v>15.6876</v>
      </c>
      <c r="E923" s="3">
        <v>4.08</v>
      </c>
      <c r="F923">
        <v>1</v>
      </c>
      <c r="G923">
        <v>-1</v>
      </c>
      <c r="H923" s="6">
        <v>16</v>
      </c>
    </row>
    <row r="924" spans="1:8" x14ac:dyDescent="0.2">
      <c r="A924" t="s">
        <v>10</v>
      </c>
      <c r="B924">
        <v>2004</v>
      </c>
      <c r="C924">
        <v>7</v>
      </c>
      <c r="D924" s="3">
        <v>14.544</v>
      </c>
      <c r="E924" s="3">
        <v>9.2899999999999991</v>
      </c>
      <c r="F924">
        <v>0</v>
      </c>
      <c r="G924">
        <v>-6</v>
      </c>
      <c r="H924" s="6">
        <v>0</v>
      </c>
    </row>
    <row r="925" spans="1:8" x14ac:dyDescent="0.2">
      <c r="A925" t="s">
        <v>755</v>
      </c>
      <c r="B925">
        <v>2004</v>
      </c>
      <c r="C925">
        <v>7</v>
      </c>
      <c r="D925" s="3">
        <v>11.4899</v>
      </c>
      <c r="E925" s="3">
        <v>2</v>
      </c>
      <c r="F925">
        <v>1</v>
      </c>
      <c r="G925">
        <v>-10</v>
      </c>
      <c r="H925" s="6">
        <v>7</v>
      </c>
    </row>
    <row r="926" spans="1:8" x14ac:dyDescent="0.2">
      <c r="A926" t="s">
        <v>617</v>
      </c>
      <c r="B926">
        <v>2004</v>
      </c>
      <c r="C926">
        <v>8</v>
      </c>
      <c r="D926" s="3">
        <v>17.2286</v>
      </c>
      <c r="E926" s="3">
        <v>1.79</v>
      </c>
      <c r="F926">
        <v>1</v>
      </c>
      <c r="G926">
        <v>-24</v>
      </c>
      <c r="H926" s="6">
        <v>4</v>
      </c>
    </row>
    <row r="927" spans="1:8" x14ac:dyDescent="0.2">
      <c r="A927" t="s">
        <v>72</v>
      </c>
      <c r="B927">
        <v>2004</v>
      </c>
      <c r="C927">
        <v>8</v>
      </c>
      <c r="D927" s="3">
        <v>15.970499999999999</v>
      </c>
      <c r="E927" s="3">
        <v>9.19</v>
      </c>
      <c r="F927">
        <v>3</v>
      </c>
      <c r="G927">
        <v>-3</v>
      </c>
      <c r="H927" s="6">
        <f>(13/3)</f>
        <v>4.333333333333333</v>
      </c>
    </row>
    <row r="928" spans="1:8" x14ac:dyDescent="0.2">
      <c r="A928" t="s">
        <v>539</v>
      </c>
      <c r="B928">
        <v>2004</v>
      </c>
      <c r="C928">
        <v>8</v>
      </c>
      <c r="D928" s="3">
        <v>15.6327</v>
      </c>
      <c r="E928" s="3">
        <v>4.2699999999999996</v>
      </c>
      <c r="F928">
        <v>1</v>
      </c>
      <c r="G928">
        <v>-2</v>
      </c>
      <c r="H928" s="6">
        <v>3</v>
      </c>
    </row>
    <row r="929" spans="1:8" x14ac:dyDescent="0.2">
      <c r="A929" t="s">
        <v>221</v>
      </c>
      <c r="B929">
        <v>2004</v>
      </c>
      <c r="C929">
        <v>8</v>
      </c>
      <c r="D929" s="3">
        <v>10.852499999999999</v>
      </c>
      <c r="E929" s="3">
        <v>2.31</v>
      </c>
      <c r="F929">
        <v>0</v>
      </c>
      <c r="G929">
        <v>-2</v>
      </c>
      <c r="H929" s="6">
        <v>0</v>
      </c>
    </row>
    <row r="930" spans="1:8" x14ac:dyDescent="0.2">
      <c r="A930" t="s">
        <v>21</v>
      </c>
      <c r="B930">
        <v>2004</v>
      </c>
      <c r="C930">
        <v>9</v>
      </c>
      <c r="D930" s="3">
        <v>16.285299999999999</v>
      </c>
      <c r="E930" s="3">
        <v>7.41</v>
      </c>
      <c r="F930">
        <v>0</v>
      </c>
      <c r="G930">
        <v>-4</v>
      </c>
      <c r="H930" s="6">
        <v>0</v>
      </c>
    </row>
    <row r="931" spans="1:8" x14ac:dyDescent="0.2">
      <c r="A931" t="s">
        <v>685</v>
      </c>
      <c r="B931">
        <v>2004</v>
      </c>
      <c r="C931">
        <v>9</v>
      </c>
      <c r="D931" s="3">
        <v>14.351800000000001</v>
      </c>
      <c r="E931" s="3">
        <v>2.12</v>
      </c>
      <c r="F931">
        <v>0</v>
      </c>
      <c r="G931">
        <v>-3</v>
      </c>
      <c r="H931" s="6">
        <v>0</v>
      </c>
    </row>
    <row r="932" spans="1:8" x14ac:dyDescent="0.2">
      <c r="A932" t="s">
        <v>616</v>
      </c>
      <c r="B932">
        <v>2004</v>
      </c>
      <c r="C932">
        <v>9</v>
      </c>
      <c r="D932" s="3">
        <v>14.1111</v>
      </c>
      <c r="E932" s="3">
        <v>4.22</v>
      </c>
      <c r="F932">
        <v>2</v>
      </c>
      <c r="G932">
        <v>-23</v>
      </c>
      <c r="H932" s="6">
        <f>(3/2)</f>
        <v>1.5</v>
      </c>
    </row>
    <row r="933" spans="1:8" x14ac:dyDescent="0.2">
      <c r="A933" t="s">
        <v>552</v>
      </c>
      <c r="B933">
        <v>2004</v>
      </c>
      <c r="C933">
        <v>9</v>
      </c>
      <c r="D933" s="3">
        <v>14.009</v>
      </c>
      <c r="E933" s="3">
        <v>2.58</v>
      </c>
      <c r="F933">
        <v>0</v>
      </c>
      <c r="G933">
        <v>-1</v>
      </c>
      <c r="H933" s="6">
        <v>0</v>
      </c>
    </row>
    <row r="934" spans="1:8" x14ac:dyDescent="0.2">
      <c r="A934" t="s">
        <v>1</v>
      </c>
      <c r="B934">
        <v>2004</v>
      </c>
      <c r="C934">
        <v>10</v>
      </c>
      <c r="D934" s="3">
        <v>21.138300000000001</v>
      </c>
      <c r="E934" s="3">
        <v>7.03</v>
      </c>
      <c r="F934">
        <v>0</v>
      </c>
      <c r="G934">
        <v>-10</v>
      </c>
      <c r="H934" s="6">
        <v>0</v>
      </c>
    </row>
    <row r="935" spans="1:8" x14ac:dyDescent="0.2">
      <c r="A935" t="s">
        <v>538</v>
      </c>
      <c r="B935">
        <v>2004</v>
      </c>
      <c r="C935">
        <v>10</v>
      </c>
      <c r="D935" s="3">
        <v>18.3764</v>
      </c>
      <c r="E935" s="3">
        <v>5.41</v>
      </c>
      <c r="F935">
        <v>2</v>
      </c>
      <c r="G935">
        <v>20</v>
      </c>
      <c r="H935" s="6">
        <f>(25/2)</f>
        <v>12.5</v>
      </c>
    </row>
    <row r="936" spans="1:8" x14ac:dyDescent="0.2">
      <c r="A936" t="s">
        <v>756</v>
      </c>
      <c r="B936">
        <v>2004</v>
      </c>
      <c r="C936">
        <v>10</v>
      </c>
      <c r="D936" s="3">
        <v>16.1677</v>
      </c>
      <c r="E936" s="3">
        <v>-5.22</v>
      </c>
      <c r="F936">
        <v>0</v>
      </c>
      <c r="G936">
        <v>-16</v>
      </c>
      <c r="H936" s="6">
        <v>0</v>
      </c>
    </row>
    <row r="937" spans="1:8" x14ac:dyDescent="0.2">
      <c r="A937" t="s">
        <v>385</v>
      </c>
      <c r="B937">
        <v>2004</v>
      </c>
      <c r="C937">
        <v>10</v>
      </c>
      <c r="D937" s="3">
        <v>9.7203999999999997</v>
      </c>
      <c r="E937" s="3">
        <v>0.17</v>
      </c>
      <c r="F937">
        <v>0</v>
      </c>
      <c r="G937">
        <v>-7</v>
      </c>
      <c r="H937" s="6">
        <v>0</v>
      </c>
    </row>
    <row r="938" spans="1:8" x14ac:dyDescent="0.2">
      <c r="A938" t="s">
        <v>757</v>
      </c>
      <c r="B938">
        <v>2004</v>
      </c>
      <c r="C938">
        <v>11</v>
      </c>
      <c r="D938" s="3">
        <v>16.945</v>
      </c>
      <c r="E938" s="3">
        <v>-0.92</v>
      </c>
      <c r="F938">
        <v>0</v>
      </c>
      <c r="G938">
        <v>-13</v>
      </c>
      <c r="H938" s="6">
        <v>0</v>
      </c>
    </row>
    <row r="939" spans="1:8" x14ac:dyDescent="0.2">
      <c r="A939" t="s">
        <v>620</v>
      </c>
      <c r="B939">
        <v>2004</v>
      </c>
      <c r="C939">
        <v>11</v>
      </c>
      <c r="D939" s="3">
        <v>15.9496</v>
      </c>
      <c r="E939" s="3">
        <v>-10.33</v>
      </c>
      <c r="F939">
        <v>0</v>
      </c>
      <c r="G939">
        <v>-11</v>
      </c>
      <c r="H939" s="6">
        <v>0</v>
      </c>
    </row>
    <row r="940" spans="1:8" x14ac:dyDescent="0.2">
      <c r="A940" t="s">
        <v>230</v>
      </c>
      <c r="B940">
        <v>2004</v>
      </c>
      <c r="C940">
        <v>11</v>
      </c>
      <c r="D940" s="3">
        <v>14.82</v>
      </c>
      <c r="E940" s="3">
        <v>6.75</v>
      </c>
      <c r="F940">
        <v>0</v>
      </c>
      <c r="G940">
        <v>-12</v>
      </c>
      <c r="H940" s="6">
        <v>0</v>
      </c>
    </row>
    <row r="941" spans="1:8" x14ac:dyDescent="0.2">
      <c r="A941" t="s">
        <v>380</v>
      </c>
      <c r="B941">
        <v>2004</v>
      </c>
      <c r="C941">
        <v>11</v>
      </c>
      <c r="D941" s="3">
        <v>14.663600000000001</v>
      </c>
      <c r="E941" s="3">
        <v>0.91</v>
      </c>
      <c r="F941">
        <v>0</v>
      </c>
      <c r="G941">
        <v>-7</v>
      </c>
      <c r="H941" s="6">
        <v>0</v>
      </c>
    </row>
    <row r="942" spans="1:8" x14ac:dyDescent="0.2">
      <c r="A942" t="s">
        <v>83</v>
      </c>
      <c r="B942">
        <v>2004</v>
      </c>
      <c r="C942">
        <v>12</v>
      </c>
      <c r="D942" s="3">
        <v>16.040099999999999</v>
      </c>
      <c r="E942" s="3">
        <v>5.82</v>
      </c>
      <c r="F942">
        <v>0</v>
      </c>
      <c r="G942">
        <v>-5</v>
      </c>
      <c r="H942" s="6">
        <v>0</v>
      </c>
    </row>
    <row r="943" spans="1:8" x14ac:dyDescent="0.2">
      <c r="A943" t="s">
        <v>71</v>
      </c>
      <c r="B943">
        <v>2004</v>
      </c>
      <c r="C943">
        <v>12</v>
      </c>
      <c r="D943" s="3">
        <v>11.4565</v>
      </c>
      <c r="E943" s="3">
        <v>0.78</v>
      </c>
      <c r="F943">
        <v>0</v>
      </c>
      <c r="G943">
        <v>-19</v>
      </c>
      <c r="H943" s="6">
        <v>0</v>
      </c>
    </row>
    <row r="944" spans="1:8" x14ac:dyDescent="0.2">
      <c r="A944" t="s">
        <v>758</v>
      </c>
      <c r="B944">
        <v>2004</v>
      </c>
      <c r="C944">
        <v>12</v>
      </c>
      <c r="D944" s="3">
        <v>11.418100000000001</v>
      </c>
      <c r="E944" s="3">
        <v>4.25</v>
      </c>
      <c r="F944">
        <v>1</v>
      </c>
      <c r="G944">
        <v>11</v>
      </c>
      <c r="H944" s="6">
        <v>15</v>
      </c>
    </row>
    <row r="945" spans="1:8" x14ac:dyDescent="0.2">
      <c r="A945" t="s">
        <v>57</v>
      </c>
      <c r="B945">
        <v>2004</v>
      </c>
      <c r="C945">
        <v>12</v>
      </c>
      <c r="D945" s="3">
        <v>8.6097999999999999</v>
      </c>
      <c r="E945" s="3">
        <v>2.95</v>
      </c>
      <c r="F945">
        <v>1</v>
      </c>
      <c r="G945">
        <v>-7</v>
      </c>
      <c r="H945" s="6">
        <v>8</v>
      </c>
    </row>
    <row r="946" spans="1:8" x14ac:dyDescent="0.2">
      <c r="A946" t="s">
        <v>307</v>
      </c>
      <c r="B946">
        <v>2004</v>
      </c>
      <c r="C946">
        <v>13</v>
      </c>
      <c r="D946" s="3">
        <v>14.1478</v>
      </c>
      <c r="E946" s="3">
        <v>-3.03</v>
      </c>
      <c r="F946">
        <v>0</v>
      </c>
      <c r="G946">
        <v>-3</v>
      </c>
      <c r="H946" s="6">
        <v>0</v>
      </c>
    </row>
    <row r="947" spans="1:8" x14ac:dyDescent="0.2">
      <c r="A947" t="s">
        <v>759</v>
      </c>
      <c r="B947">
        <v>2004</v>
      </c>
      <c r="C947">
        <v>13</v>
      </c>
      <c r="D947" s="3">
        <v>10.6982</v>
      </c>
      <c r="E947" s="3">
        <v>-2.41</v>
      </c>
      <c r="F947">
        <v>0</v>
      </c>
      <c r="G947">
        <v>-34</v>
      </c>
      <c r="H947" s="6">
        <v>0</v>
      </c>
    </row>
    <row r="948" spans="1:8" x14ac:dyDescent="0.2">
      <c r="A948" t="s">
        <v>18</v>
      </c>
      <c r="B948">
        <v>2004</v>
      </c>
      <c r="C948">
        <v>13</v>
      </c>
      <c r="D948" s="3">
        <v>8.4860000000000007</v>
      </c>
      <c r="E948" s="3">
        <v>1.27</v>
      </c>
      <c r="F948">
        <v>0</v>
      </c>
      <c r="G948">
        <v>-1</v>
      </c>
      <c r="H948" s="6">
        <v>0</v>
      </c>
    </row>
    <row r="949" spans="1:8" x14ac:dyDescent="0.2">
      <c r="A949" t="s">
        <v>315</v>
      </c>
      <c r="B949">
        <v>2004</v>
      </c>
      <c r="C949">
        <v>13</v>
      </c>
      <c r="D949" s="3">
        <v>7.8502000000000001</v>
      </c>
      <c r="E949" s="3">
        <v>-1.7</v>
      </c>
      <c r="F949">
        <v>0</v>
      </c>
      <c r="G949">
        <v>-3</v>
      </c>
      <c r="H949" s="6">
        <v>0</v>
      </c>
    </row>
    <row r="950" spans="1:8" x14ac:dyDescent="0.2">
      <c r="A950" t="s">
        <v>686</v>
      </c>
      <c r="B950">
        <v>2004</v>
      </c>
      <c r="C950">
        <v>14</v>
      </c>
      <c r="D950" s="3">
        <v>10.2761</v>
      </c>
      <c r="E950" s="3">
        <v>7.94</v>
      </c>
      <c r="F950">
        <v>0</v>
      </c>
      <c r="G950">
        <v>-9</v>
      </c>
      <c r="H950" s="6">
        <v>0</v>
      </c>
    </row>
    <row r="951" spans="1:8" x14ac:dyDescent="0.2">
      <c r="A951" t="s">
        <v>304</v>
      </c>
      <c r="B951">
        <v>2004</v>
      </c>
      <c r="C951">
        <v>14</v>
      </c>
      <c r="D951" s="3">
        <v>8.1792999999999996</v>
      </c>
      <c r="E951" s="3">
        <v>1.19</v>
      </c>
      <c r="F951">
        <v>0</v>
      </c>
      <c r="G951">
        <v>-5</v>
      </c>
      <c r="H951" s="6">
        <v>0</v>
      </c>
    </row>
    <row r="952" spans="1:8" x14ac:dyDescent="0.2">
      <c r="A952" t="s">
        <v>688</v>
      </c>
      <c r="B952">
        <v>2004</v>
      </c>
      <c r="C952">
        <v>14</v>
      </c>
      <c r="D952" s="3">
        <v>5.6801000000000004</v>
      </c>
      <c r="E952" s="3">
        <v>-5.45</v>
      </c>
      <c r="F952">
        <v>0</v>
      </c>
      <c r="G952">
        <v>-9</v>
      </c>
      <c r="H952" s="6">
        <v>0</v>
      </c>
    </row>
    <row r="953" spans="1:8" x14ac:dyDescent="0.2">
      <c r="A953" t="s">
        <v>232</v>
      </c>
      <c r="B953">
        <v>2004</v>
      </c>
      <c r="C953">
        <v>14</v>
      </c>
      <c r="D953" s="3">
        <v>5.3772000000000002</v>
      </c>
      <c r="E953" s="3">
        <v>-1.28</v>
      </c>
      <c r="F953">
        <v>0</v>
      </c>
      <c r="G953">
        <v>-17</v>
      </c>
      <c r="H953" s="6">
        <v>0</v>
      </c>
    </row>
    <row r="954" spans="1:8" x14ac:dyDescent="0.2">
      <c r="A954" t="s">
        <v>760</v>
      </c>
      <c r="B954">
        <v>2004</v>
      </c>
      <c r="C954">
        <v>15</v>
      </c>
      <c r="D954" s="3">
        <v>3.5232000000000001</v>
      </c>
      <c r="E954" s="3">
        <v>4.12</v>
      </c>
      <c r="F954">
        <v>0</v>
      </c>
      <c r="G954">
        <v>-19</v>
      </c>
      <c r="H954" s="6">
        <v>0</v>
      </c>
    </row>
    <row r="955" spans="1:8" x14ac:dyDescent="0.2">
      <c r="A955" t="s">
        <v>52</v>
      </c>
      <c r="B955">
        <v>2004</v>
      </c>
      <c r="C955">
        <v>15</v>
      </c>
      <c r="D955" s="3">
        <v>0.86970000000000003</v>
      </c>
      <c r="E955" s="3">
        <v>3.9</v>
      </c>
      <c r="F955">
        <v>0</v>
      </c>
      <c r="G955">
        <v>-27</v>
      </c>
      <c r="H955" s="6">
        <v>0</v>
      </c>
    </row>
    <row r="956" spans="1:8" x14ac:dyDescent="0.2">
      <c r="A956" t="s">
        <v>88</v>
      </c>
      <c r="B956">
        <v>2004</v>
      </c>
      <c r="C956">
        <v>15</v>
      </c>
      <c r="D956" s="3">
        <v>-1.2468999999999999</v>
      </c>
      <c r="E956" s="3">
        <v>-5.3</v>
      </c>
      <c r="F956">
        <v>0</v>
      </c>
      <c r="G956">
        <v>-17</v>
      </c>
      <c r="H956" s="6">
        <v>0</v>
      </c>
    </row>
    <row r="957" spans="1:8" x14ac:dyDescent="0.2">
      <c r="A957" t="s">
        <v>621</v>
      </c>
      <c r="B957">
        <v>2004</v>
      </c>
      <c r="C957">
        <v>15</v>
      </c>
      <c r="D957" s="3">
        <v>-3.456</v>
      </c>
      <c r="E957" s="3">
        <v>0.96</v>
      </c>
      <c r="F957">
        <v>0</v>
      </c>
      <c r="G957">
        <v>-33</v>
      </c>
      <c r="H957" s="6">
        <v>0</v>
      </c>
    </row>
    <row r="958" spans="1:8" x14ac:dyDescent="0.2">
      <c r="A958" t="s">
        <v>761</v>
      </c>
      <c r="B958">
        <v>2004</v>
      </c>
      <c r="C958">
        <v>16</v>
      </c>
      <c r="D958" s="3">
        <v>-2.7313000000000001</v>
      </c>
      <c r="E958" s="3">
        <v>4.16</v>
      </c>
      <c r="F958">
        <v>0</v>
      </c>
      <c r="G958">
        <v>-19</v>
      </c>
      <c r="H958" s="6">
        <v>0</v>
      </c>
    </row>
    <row r="959" spans="1:8" x14ac:dyDescent="0.2">
      <c r="A959" t="s">
        <v>240</v>
      </c>
      <c r="B959">
        <v>2004</v>
      </c>
      <c r="C959">
        <v>16</v>
      </c>
      <c r="D959" s="3">
        <v>-7.3517000000000001</v>
      </c>
      <c r="E959" s="3">
        <v>-3.9</v>
      </c>
      <c r="F959">
        <v>0</v>
      </c>
      <c r="G959">
        <v>-26</v>
      </c>
      <c r="H959" s="6">
        <v>0</v>
      </c>
    </row>
    <row r="960" spans="1:8" x14ac:dyDescent="0.2">
      <c r="A960" t="s">
        <v>762</v>
      </c>
      <c r="B960">
        <v>2004</v>
      </c>
      <c r="C960">
        <v>16</v>
      </c>
      <c r="D960" s="3">
        <v>-10.491300000000001</v>
      </c>
      <c r="E960" s="3">
        <v>-1.59</v>
      </c>
      <c r="F960">
        <v>0</v>
      </c>
      <c r="G960">
        <v>-35</v>
      </c>
      <c r="H960" s="6">
        <v>0</v>
      </c>
    </row>
    <row r="961" spans="1:8" x14ac:dyDescent="0.2">
      <c r="A961" t="s">
        <v>549</v>
      </c>
      <c r="B961">
        <v>2004</v>
      </c>
      <c r="C961">
        <v>16</v>
      </c>
      <c r="D961" s="3">
        <v>-10.533300000000001</v>
      </c>
      <c r="E961" s="3">
        <v>-0.79</v>
      </c>
      <c r="F961">
        <v>0</v>
      </c>
      <c r="G961">
        <v>-20</v>
      </c>
      <c r="H961" s="6">
        <v>0</v>
      </c>
    </row>
    <row r="962" spans="1:8" x14ac:dyDescent="0.2">
      <c r="A962" t="s">
        <v>66</v>
      </c>
      <c r="B962">
        <v>2003</v>
      </c>
      <c r="C962">
        <v>1</v>
      </c>
      <c r="D962" s="3">
        <v>28.9023</v>
      </c>
      <c r="E962" s="3">
        <v>7.02</v>
      </c>
      <c r="F962">
        <v>3</v>
      </c>
      <c r="G962">
        <v>43</v>
      </c>
      <c r="H962" s="6">
        <f>(57/3)</f>
        <v>19</v>
      </c>
    </row>
    <row r="963" spans="1:8" x14ac:dyDescent="0.2">
      <c r="A963" t="s">
        <v>21</v>
      </c>
      <c r="B963">
        <v>2003</v>
      </c>
      <c r="C963">
        <v>1</v>
      </c>
      <c r="D963" s="3">
        <v>25.978200000000001</v>
      </c>
      <c r="E963" s="3">
        <v>10.119999999999999</v>
      </c>
      <c r="F963">
        <v>3</v>
      </c>
      <c r="G963">
        <v>44</v>
      </c>
      <c r="H963" s="6">
        <f>(47/3)</f>
        <v>15.666666666666666</v>
      </c>
    </row>
    <row r="964" spans="1:8" x14ac:dyDescent="0.2">
      <c r="A964" t="s">
        <v>38</v>
      </c>
      <c r="B964">
        <v>2003</v>
      </c>
      <c r="C964">
        <v>1</v>
      </c>
      <c r="D964" s="3">
        <v>23.081099999999999</v>
      </c>
      <c r="E964" s="3">
        <v>2.65</v>
      </c>
      <c r="F964">
        <v>3</v>
      </c>
      <c r="G964">
        <v>21</v>
      </c>
      <c r="H964" s="6">
        <f>(37/3)</f>
        <v>12.333333333333334</v>
      </c>
    </row>
    <row r="965" spans="1:8" x14ac:dyDescent="0.2">
      <c r="A965" t="s">
        <v>78</v>
      </c>
      <c r="B965">
        <v>2003</v>
      </c>
      <c r="C965">
        <v>1</v>
      </c>
      <c r="D965" s="3">
        <v>23.0078</v>
      </c>
      <c r="E965" s="3">
        <v>5.0599999999999996</v>
      </c>
      <c r="F965">
        <v>4</v>
      </c>
      <c r="G965">
        <v>33</v>
      </c>
      <c r="H965" s="6">
        <f>(44/4)</f>
        <v>11</v>
      </c>
    </row>
    <row r="966" spans="1:8" x14ac:dyDescent="0.2">
      <c r="A966" t="s">
        <v>4</v>
      </c>
      <c r="B966">
        <v>2003</v>
      </c>
      <c r="C966">
        <v>2</v>
      </c>
      <c r="D966" s="3">
        <v>26.609100000000002</v>
      </c>
      <c r="E966" s="3">
        <v>7.43</v>
      </c>
      <c r="F966">
        <v>5</v>
      </c>
      <c r="G966">
        <v>72</v>
      </c>
      <c r="H966" s="6">
        <f>(75/5)</f>
        <v>15</v>
      </c>
    </row>
    <row r="967" spans="1:8" x14ac:dyDescent="0.2">
      <c r="A967" t="s">
        <v>28</v>
      </c>
      <c r="B967">
        <v>2003</v>
      </c>
      <c r="C967">
        <v>2</v>
      </c>
      <c r="D967" s="3">
        <v>26.445799999999998</v>
      </c>
      <c r="E967" s="3">
        <v>-4.9400000000000004</v>
      </c>
      <c r="F967">
        <v>2</v>
      </c>
      <c r="G967">
        <v>35</v>
      </c>
      <c r="H967" s="6">
        <f>(38/2)</f>
        <v>19</v>
      </c>
    </row>
    <row r="968" spans="1:8" x14ac:dyDescent="0.2">
      <c r="A968" t="s">
        <v>9</v>
      </c>
      <c r="B968">
        <v>2003</v>
      </c>
      <c r="C968">
        <v>2</v>
      </c>
      <c r="D968" s="3">
        <v>23.191199999999998</v>
      </c>
      <c r="E968" s="3">
        <v>1.42</v>
      </c>
      <c r="F968">
        <v>1</v>
      </c>
      <c r="G968">
        <v>18</v>
      </c>
      <c r="H968" s="6">
        <v>30</v>
      </c>
    </row>
    <row r="969" spans="1:8" x14ac:dyDescent="0.2">
      <c r="A969" t="s">
        <v>305</v>
      </c>
      <c r="B969">
        <v>2003</v>
      </c>
      <c r="C969">
        <v>2</v>
      </c>
      <c r="D969" s="3">
        <v>20.408200000000001</v>
      </c>
      <c r="E969" s="3">
        <v>-0.36</v>
      </c>
      <c r="F969">
        <v>1</v>
      </c>
      <c r="G969">
        <v>-3</v>
      </c>
      <c r="H969" s="6">
        <v>3</v>
      </c>
    </row>
    <row r="970" spans="1:8" x14ac:dyDescent="0.2">
      <c r="A970" t="s">
        <v>6</v>
      </c>
      <c r="B970">
        <v>2003</v>
      </c>
      <c r="C970">
        <v>3</v>
      </c>
      <c r="D970" s="3">
        <v>22.379300000000001</v>
      </c>
      <c r="E970" s="3">
        <v>4.0599999999999996</v>
      </c>
      <c r="F970">
        <v>2</v>
      </c>
      <c r="G970">
        <v>32</v>
      </c>
      <c r="H970" s="6">
        <f>(36/2)</f>
        <v>18</v>
      </c>
    </row>
    <row r="971" spans="1:8" x14ac:dyDescent="0.2">
      <c r="A971" t="s">
        <v>12</v>
      </c>
      <c r="B971">
        <v>2003</v>
      </c>
      <c r="C971">
        <v>3</v>
      </c>
      <c r="D971" s="3">
        <v>20.803899999999999</v>
      </c>
      <c r="E971" s="3">
        <v>1.95</v>
      </c>
      <c r="F971">
        <v>4</v>
      </c>
      <c r="G971">
        <v>-3</v>
      </c>
      <c r="H971" s="6">
        <f>(30/4)</f>
        <v>7.5</v>
      </c>
    </row>
    <row r="972" spans="1:8" x14ac:dyDescent="0.2">
      <c r="A972" t="s">
        <v>76</v>
      </c>
      <c r="B972">
        <v>2003</v>
      </c>
      <c r="C972">
        <v>3</v>
      </c>
      <c r="D972" s="3">
        <v>20.531400000000001</v>
      </c>
      <c r="E972" s="3">
        <v>5.77</v>
      </c>
      <c r="F972">
        <v>1</v>
      </c>
      <c r="G972">
        <v>-1</v>
      </c>
      <c r="H972" s="6">
        <v>12</v>
      </c>
    </row>
    <row r="973" spans="1:8" x14ac:dyDescent="0.2">
      <c r="A973" t="s">
        <v>14</v>
      </c>
      <c r="B973">
        <v>2003</v>
      </c>
      <c r="C973">
        <v>3</v>
      </c>
      <c r="D973" s="3">
        <v>19.479399999999998</v>
      </c>
      <c r="E973" s="3">
        <v>0.8</v>
      </c>
      <c r="F973">
        <v>6</v>
      </c>
      <c r="G973">
        <v>54</v>
      </c>
      <c r="H973" s="6">
        <f>(54/6)</f>
        <v>9</v>
      </c>
    </row>
    <row r="974" spans="1:8" x14ac:dyDescent="0.2">
      <c r="A974" t="s">
        <v>27</v>
      </c>
      <c r="B974">
        <v>2003</v>
      </c>
      <c r="C974">
        <v>4</v>
      </c>
      <c r="D974" s="3">
        <v>24.196000000000002</v>
      </c>
      <c r="E974" s="3">
        <v>-0.79</v>
      </c>
      <c r="F974">
        <v>1</v>
      </c>
      <c r="G974">
        <v>-3</v>
      </c>
      <c r="H974" s="6">
        <v>5</v>
      </c>
    </row>
    <row r="975" spans="1:8" x14ac:dyDescent="0.2">
      <c r="A975" t="s">
        <v>1</v>
      </c>
      <c r="B975">
        <v>2003</v>
      </c>
      <c r="C975">
        <v>4</v>
      </c>
      <c r="D975" s="3">
        <v>23.186299999999999</v>
      </c>
      <c r="E975" s="3">
        <v>7.3</v>
      </c>
      <c r="F975">
        <v>1</v>
      </c>
      <c r="G975">
        <v>14</v>
      </c>
      <c r="H975" s="6">
        <v>22</v>
      </c>
    </row>
    <row r="976" spans="1:8" x14ac:dyDescent="0.2">
      <c r="A976" t="s">
        <v>385</v>
      </c>
      <c r="B976">
        <v>2003</v>
      </c>
      <c r="C976">
        <v>4</v>
      </c>
      <c r="D976" s="3">
        <v>15.598800000000001</v>
      </c>
      <c r="E976" s="3">
        <v>7.06</v>
      </c>
      <c r="F976">
        <v>0</v>
      </c>
      <c r="G976">
        <v>-13</v>
      </c>
      <c r="H976" s="6">
        <v>0</v>
      </c>
    </row>
    <row r="977" spans="1:8" x14ac:dyDescent="0.2">
      <c r="A977" t="s">
        <v>459</v>
      </c>
      <c r="B977">
        <v>2003</v>
      </c>
      <c r="C977">
        <v>4</v>
      </c>
      <c r="D977" s="3">
        <v>14.7263</v>
      </c>
      <c r="E977" s="3">
        <v>7.29</v>
      </c>
      <c r="F977">
        <v>1</v>
      </c>
      <c r="G977">
        <v>-3</v>
      </c>
      <c r="H977" s="6">
        <v>8</v>
      </c>
    </row>
    <row r="978" spans="1:8" x14ac:dyDescent="0.2">
      <c r="A978" t="s">
        <v>387</v>
      </c>
      <c r="B978">
        <v>2003</v>
      </c>
      <c r="C978">
        <v>5</v>
      </c>
      <c r="D978" s="3">
        <v>22.0566</v>
      </c>
      <c r="E978" s="3">
        <v>-0.27</v>
      </c>
      <c r="F978">
        <v>0</v>
      </c>
      <c r="G978">
        <v>-1</v>
      </c>
      <c r="H978" s="6">
        <v>0</v>
      </c>
    </row>
    <row r="979" spans="1:8" x14ac:dyDescent="0.2">
      <c r="A979" t="s">
        <v>17</v>
      </c>
      <c r="B979">
        <v>2003</v>
      </c>
      <c r="C979">
        <v>5</v>
      </c>
      <c r="D979" s="3">
        <v>21.942</v>
      </c>
      <c r="E979" s="3">
        <v>2.12</v>
      </c>
      <c r="F979">
        <v>2</v>
      </c>
      <c r="G979">
        <v>2</v>
      </c>
      <c r="H979" s="6">
        <f>(8/2)</f>
        <v>4</v>
      </c>
    </row>
    <row r="980" spans="1:8" x14ac:dyDescent="0.2">
      <c r="A980" t="s">
        <v>26</v>
      </c>
      <c r="B980">
        <v>2003</v>
      </c>
      <c r="C980">
        <v>5</v>
      </c>
      <c r="D980" s="3">
        <v>19.222000000000001</v>
      </c>
      <c r="E980" s="3">
        <v>6.69</v>
      </c>
      <c r="F980">
        <v>2</v>
      </c>
      <c r="G980">
        <v>-8</v>
      </c>
      <c r="H980" s="6">
        <f>(9/2)</f>
        <v>4.5</v>
      </c>
    </row>
    <row r="981" spans="1:8" x14ac:dyDescent="0.2">
      <c r="A981" t="s">
        <v>90</v>
      </c>
      <c r="B981">
        <v>2003</v>
      </c>
      <c r="C981">
        <v>5</v>
      </c>
      <c r="D981" s="3">
        <v>17.896999999999998</v>
      </c>
      <c r="E981" s="3">
        <v>-0.28000000000000003</v>
      </c>
      <c r="F981">
        <v>2</v>
      </c>
      <c r="G981">
        <v>12</v>
      </c>
      <c r="H981" s="6">
        <f>(16/2)</f>
        <v>8</v>
      </c>
    </row>
    <row r="982" spans="1:8" x14ac:dyDescent="0.2">
      <c r="A982" t="s">
        <v>303</v>
      </c>
      <c r="B982">
        <v>2003</v>
      </c>
      <c r="C982">
        <v>6</v>
      </c>
      <c r="D982" s="3">
        <v>21.107800000000001</v>
      </c>
      <c r="E982" s="3">
        <v>-1.23</v>
      </c>
      <c r="F982">
        <v>2</v>
      </c>
      <c r="G982">
        <v>13</v>
      </c>
      <c r="H982" s="6">
        <f>(15/2)</f>
        <v>7.5</v>
      </c>
    </row>
    <row r="983" spans="1:8" x14ac:dyDescent="0.2">
      <c r="A983" t="s">
        <v>25</v>
      </c>
      <c r="B983">
        <v>2003</v>
      </c>
      <c r="C983">
        <v>6</v>
      </c>
      <c r="D983" s="3">
        <v>18.014099999999999</v>
      </c>
      <c r="E983" s="3">
        <v>2.54</v>
      </c>
      <c r="F983">
        <v>0</v>
      </c>
      <c r="G983">
        <v>-6</v>
      </c>
      <c r="H983" s="6">
        <v>0</v>
      </c>
    </row>
    <row r="984" spans="1:8" x14ac:dyDescent="0.2">
      <c r="A984" t="s">
        <v>33</v>
      </c>
      <c r="B984">
        <v>2003</v>
      </c>
      <c r="C984">
        <v>6</v>
      </c>
      <c r="D984" s="3">
        <v>17.2407</v>
      </c>
      <c r="E984" s="3">
        <v>5.35</v>
      </c>
      <c r="F984">
        <v>1</v>
      </c>
      <c r="G984">
        <v>-8</v>
      </c>
      <c r="H984" s="6">
        <v>1</v>
      </c>
    </row>
    <row r="985" spans="1:8" x14ac:dyDescent="0.2">
      <c r="A985" t="s">
        <v>19</v>
      </c>
      <c r="B985">
        <v>2003</v>
      </c>
      <c r="C985">
        <v>6</v>
      </c>
      <c r="D985" s="3">
        <v>16.960799999999999</v>
      </c>
      <c r="E985" s="3">
        <v>1.53</v>
      </c>
      <c r="F985">
        <v>1</v>
      </c>
      <c r="G985">
        <v>2</v>
      </c>
      <c r="H985" s="6">
        <v>14</v>
      </c>
    </row>
    <row r="986" spans="1:8" x14ac:dyDescent="0.2">
      <c r="A986" t="s">
        <v>465</v>
      </c>
      <c r="B986">
        <v>2003</v>
      </c>
      <c r="C986">
        <v>7</v>
      </c>
      <c r="D986" s="3">
        <v>21.253699999999998</v>
      </c>
      <c r="E986" s="3">
        <v>5.31</v>
      </c>
      <c r="F986">
        <v>0</v>
      </c>
      <c r="G986">
        <v>-2</v>
      </c>
      <c r="H986" s="6">
        <v>0</v>
      </c>
    </row>
    <row r="987" spans="1:8" x14ac:dyDescent="0.2">
      <c r="A987" t="s">
        <v>22</v>
      </c>
      <c r="B987">
        <v>2003</v>
      </c>
      <c r="C987">
        <v>7</v>
      </c>
      <c r="D987" s="3">
        <v>17.494700000000002</v>
      </c>
      <c r="E987" s="3">
        <v>6.26</v>
      </c>
      <c r="F987">
        <v>0</v>
      </c>
      <c r="G987">
        <v>-13</v>
      </c>
      <c r="H987" s="6">
        <v>0</v>
      </c>
    </row>
    <row r="988" spans="1:8" x14ac:dyDescent="0.2">
      <c r="A988" t="s">
        <v>10</v>
      </c>
      <c r="B988">
        <v>2003</v>
      </c>
      <c r="C988">
        <v>7</v>
      </c>
      <c r="D988" s="3">
        <v>17.463100000000001</v>
      </c>
      <c r="E988" s="3">
        <v>6.47</v>
      </c>
      <c r="F988">
        <v>3</v>
      </c>
      <c r="G988">
        <v>30</v>
      </c>
      <c r="H988" s="6">
        <f>(39/3)</f>
        <v>13</v>
      </c>
    </row>
    <row r="989" spans="1:8" x14ac:dyDescent="0.2">
      <c r="A989" t="s">
        <v>2</v>
      </c>
      <c r="B989">
        <v>2003</v>
      </c>
      <c r="C989">
        <v>7</v>
      </c>
      <c r="D989" s="3">
        <v>14.3187</v>
      </c>
      <c r="E989" s="3">
        <v>9.76</v>
      </c>
      <c r="F989">
        <v>1</v>
      </c>
      <c r="G989">
        <v>-17</v>
      </c>
      <c r="H989" s="6">
        <v>5</v>
      </c>
    </row>
    <row r="990" spans="1:8" x14ac:dyDescent="0.2">
      <c r="A990" t="s">
        <v>383</v>
      </c>
      <c r="B990">
        <v>2003</v>
      </c>
      <c r="C990">
        <v>8</v>
      </c>
      <c r="D990" s="3">
        <v>19.655200000000001</v>
      </c>
      <c r="E990" s="3">
        <v>-3.81</v>
      </c>
      <c r="F990">
        <v>0</v>
      </c>
      <c r="G990">
        <v>-24</v>
      </c>
      <c r="H990" s="6">
        <v>0</v>
      </c>
    </row>
    <row r="991" spans="1:8" x14ac:dyDescent="0.2">
      <c r="A991" t="s">
        <v>37</v>
      </c>
      <c r="B991">
        <v>2003</v>
      </c>
      <c r="C991">
        <v>8</v>
      </c>
      <c r="D991" s="3">
        <v>15.0715</v>
      </c>
      <c r="E991" s="3">
        <v>6.41</v>
      </c>
      <c r="F991">
        <v>0</v>
      </c>
      <c r="G991">
        <v>-5</v>
      </c>
      <c r="H991" s="6">
        <v>0</v>
      </c>
    </row>
    <row r="992" spans="1:8" x14ac:dyDescent="0.2">
      <c r="A992" t="s">
        <v>44</v>
      </c>
      <c r="B992">
        <v>2003</v>
      </c>
      <c r="C992">
        <v>8</v>
      </c>
      <c r="D992" s="3">
        <v>14.0055</v>
      </c>
      <c r="E992" s="3">
        <v>-1.91</v>
      </c>
      <c r="F992">
        <v>0</v>
      </c>
      <c r="G992">
        <v>-2</v>
      </c>
      <c r="H992" s="6">
        <v>0</v>
      </c>
    </row>
    <row r="993" spans="1:8" x14ac:dyDescent="0.2">
      <c r="A993" t="s">
        <v>45</v>
      </c>
      <c r="B993">
        <v>2003</v>
      </c>
      <c r="C993">
        <v>8</v>
      </c>
      <c r="D993" s="3">
        <v>13.412800000000001</v>
      </c>
      <c r="E993" s="3">
        <v>2.38</v>
      </c>
      <c r="F993">
        <v>1</v>
      </c>
      <c r="G993">
        <v>-7</v>
      </c>
      <c r="H993" s="6">
        <v>2</v>
      </c>
    </row>
    <row r="994" spans="1:8" x14ac:dyDescent="0.2">
      <c r="A994" t="s">
        <v>74</v>
      </c>
      <c r="B994">
        <v>2003</v>
      </c>
      <c r="C994">
        <v>9</v>
      </c>
      <c r="D994" s="3">
        <v>15.777200000000001</v>
      </c>
      <c r="E994" s="3">
        <v>8.08</v>
      </c>
      <c r="F994">
        <v>1</v>
      </c>
      <c r="G994">
        <v>14</v>
      </c>
      <c r="H994" s="6">
        <v>24</v>
      </c>
    </row>
    <row r="995" spans="1:8" x14ac:dyDescent="0.2">
      <c r="A995" t="s">
        <v>3</v>
      </c>
      <c r="B995">
        <v>2003</v>
      </c>
      <c r="C995">
        <v>9</v>
      </c>
      <c r="D995" s="3">
        <v>14.664099999999999</v>
      </c>
      <c r="E995" s="3">
        <v>6.41</v>
      </c>
      <c r="F995">
        <v>1</v>
      </c>
      <c r="G995">
        <v>4</v>
      </c>
      <c r="H995" s="6">
        <v>5</v>
      </c>
    </row>
    <row r="996" spans="1:8" x14ac:dyDescent="0.2">
      <c r="A996" t="s">
        <v>380</v>
      </c>
      <c r="B996">
        <v>2003</v>
      </c>
      <c r="C996">
        <v>9</v>
      </c>
      <c r="D996" s="3">
        <v>14.5831</v>
      </c>
      <c r="E996" s="3">
        <v>3.47</v>
      </c>
      <c r="F996">
        <v>1</v>
      </c>
      <c r="G996">
        <v>-18</v>
      </c>
      <c r="H996" s="6">
        <v>2</v>
      </c>
    </row>
    <row r="997" spans="1:8" x14ac:dyDescent="0.2">
      <c r="A997" t="s">
        <v>31</v>
      </c>
      <c r="B997">
        <v>2003</v>
      </c>
      <c r="C997">
        <v>9</v>
      </c>
      <c r="D997" s="3">
        <v>12.8155</v>
      </c>
      <c r="E997" s="3">
        <v>-3.14</v>
      </c>
      <c r="F997">
        <v>0</v>
      </c>
      <c r="G997">
        <v>-2</v>
      </c>
      <c r="H997" s="6">
        <v>0</v>
      </c>
    </row>
    <row r="998" spans="1:8" x14ac:dyDescent="0.2">
      <c r="A998" t="s">
        <v>381</v>
      </c>
      <c r="B998">
        <v>2003</v>
      </c>
      <c r="C998">
        <v>10</v>
      </c>
      <c r="D998" s="3">
        <v>16.391300000000001</v>
      </c>
      <c r="E998" s="3">
        <v>8.18</v>
      </c>
      <c r="F998">
        <v>1</v>
      </c>
      <c r="G998">
        <v>-19</v>
      </c>
      <c r="H998" s="6">
        <v>13</v>
      </c>
    </row>
    <row r="999" spans="1:8" x14ac:dyDescent="0.2">
      <c r="A999" t="s">
        <v>39</v>
      </c>
      <c r="B999">
        <v>2003</v>
      </c>
      <c r="C999">
        <v>10</v>
      </c>
      <c r="D999" s="3">
        <v>15.6839</v>
      </c>
      <c r="E999" s="3">
        <v>0.99</v>
      </c>
      <c r="F999">
        <v>0</v>
      </c>
      <c r="G999">
        <v>-15</v>
      </c>
      <c r="H999" s="6">
        <v>0</v>
      </c>
    </row>
    <row r="1000" spans="1:8" x14ac:dyDescent="0.2">
      <c r="A1000" t="s">
        <v>72</v>
      </c>
      <c r="B1000">
        <v>2003</v>
      </c>
      <c r="C1000">
        <v>10</v>
      </c>
      <c r="D1000" s="3">
        <v>15.225199999999999</v>
      </c>
      <c r="E1000" s="3">
        <v>5.75</v>
      </c>
      <c r="F1000">
        <v>0</v>
      </c>
      <c r="G1000">
        <v>-5</v>
      </c>
      <c r="H1000" s="6">
        <v>0</v>
      </c>
    </row>
    <row r="1001" spans="1:8" x14ac:dyDescent="0.2">
      <c r="A1001" t="s">
        <v>826</v>
      </c>
      <c r="B1001">
        <v>2003</v>
      </c>
      <c r="C1001">
        <v>10</v>
      </c>
      <c r="D1001" s="3">
        <v>12.6433</v>
      </c>
      <c r="E1001" s="3">
        <v>-0.42</v>
      </c>
      <c r="F1001">
        <v>2</v>
      </c>
      <c r="G1001">
        <v>7</v>
      </c>
      <c r="H1001" s="6">
        <f>(8/2)</f>
        <v>4</v>
      </c>
    </row>
    <row r="1002" spans="1:8" x14ac:dyDescent="0.2">
      <c r="A1002" t="s">
        <v>544</v>
      </c>
      <c r="B1002">
        <v>2003</v>
      </c>
      <c r="C1002">
        <v>11</v>
      </c>
      <c r="D1002" s="3">
        <v>14.3094</v>
      </c>
      <c r="E1002" s="3">
        <v>4.03</v>
      </c>
      <c r="F1002">
        <v>0</v>
      </c>
      <c r="G1002">
        <v>-14</v>
      </c>
      <c r="H1002" s="6">
        <v>0</v>
      </c>
    </row>
    <row r="1003" spans="1:8" x14ac:dyDescent="0.2">
      <c r="A1003" t="s">
        <v>1067</v>
      </c>
      <c r="B1003">
        <v>2003</v>
      </c>
      <c r="C1003">
        <v>11</v>
      </c>
      <c r="D1003" s="3">
        <v>14.1662</v>
      </c>
      <c r="E1003" s="3">
        <v>-3.03</v>
      </c>
      <c r="F1003">
        <v>0</v>
      </c>
      <c r="G1003">
        <v>-2</v>
      </c>
      <c r="H1003" s="6">
        <v>0</v>
      </c>
    </row>
    <row r="1004" spans="1:8" x14ac:dyDescent="0.2">
      <c r="A1004" t="s">
        <v>552</v>
      </c>
      <c r="B1004">
        <v>2003</v>
      </c>
      <c r="C1004">
        <v>11</v>
      </c>
      <c r="D1004" s="3">
        <v>11.572699999999999</v>
      </c>
      <c r="E1004" s="3">
        <v>4.1100000000000003</v>
      </c>
      <c r="F1004">
        <v>0</v>
      </c>
      <c r="G1004">
        <v>-1</v>
      </c>
      <c r="H1004" s="6">
        <v>0</v>
      </c>
    </row>
    <row r="1005" spans="1:8" x14ac:dyDescent="0.2">
      <c r="A1005" t="s">
        <v>827</v>
      </c>
      <c r="B1005">
        <v>2003</v>
      </c>
      <c r="C1005">
        <v>11</v>
      </c>
      <c r="D1005" s="3">
        <v>10.178900000000001</v>
      </c>
      <c r="E1005" s="3">
        <v>1.38</v>
      </c>
      <c r="F1005">
        <v>1</v>
      </c>
      <c r="G1005">
        <v>-20</v>
      </c>
      <c r="H1005" s="6">
        <v>6</v>
      </c>
    </row>
    <row r="1006" spans="1:8" x14ac:dyDescent="0.2">
      <c r="A1006" t="s">
        <v>83</v>
      </c>
      <c r="B1006">
        <v>2003</v>
      </c>
      <c r="C1006">
        <v>12</v>
      </c>
      <c r="D1006" s="3">
        <v>17.8383</v>
      </c>
      <c r="E1006" s="3">
        <v>6.16</v>
      </c>
      <c r="F1006">
        <v>0</v>
      </c>
      <c r="G1006">
        <v>-5</v>
      </c>
      <c r="H1006" s="6">
        <v>0</v>
      </c>
    </row>
    <row r="1007" spans="1:8" x14ac:dyDescent="0.2">
      <c r="A1007" t="s">
        <v>23</v>
      </c>
      <c r="B1007">
        <v>2003</v>
      </c>
      <c r="C1007">
        <v>12</v>
      </c>
      <c r="D1007" s="3">
        <v>15.0444</v>
      </c>
      <c r="E1007" s="3">
        <v>0.28999999999999998</v>
      </c>
      <c r="F1007">
        <v>2</v>
      </c>
      <c r="G1007">
        <v>-2</v>
      </c>
      <c r="H1007" s="6">
        <f>(9/2)</f>
        <v>4.5</v>
      </c>
    </row>
    <row r="1008" spans="1:8" x14ac:dyDescent="0.2">
      <c r="A1008" t="s">
        <v>618</v>
      </c>
      <c r="B1008">
        <v>2003</v>
      </c>
      <c r="C1008">
        <v>12</v>
      </c>
      <c r="D1008" s="3">
        <v>12.3695</v>
      </c>
      <c r="E1008" s="3">
        <v>-0.78</v>
      </c>
      <c r="F1008">
        <v>0</v>
      </c>
      <c r="G1008">
        <v>-1</v>
      </c>
      <c r="H1008" s="6">
        <v>0</v>
      </c>
    </row>
    <row r="1009" spans="1:8" x14ac:dyDescent="0.2">
      <c r="A1009" t="s">
        <v>546</v>
      </c>
      <c r="B1009">
        <v>2003</v>
      </c>
      <c r="C1009">
        <v>12</v>
      </c>
      <c r="D1009" s="3">
        <v>8.6852</v>
      </c>
      <c r="E1009" s="3">
        <v>0.35</v>
      </c>
      <c r="F1009">
        <v>0</v>
      </c>
      <c r="G1009">
        <v>-7</v>
      </c>
      <c r="H1009" s="6">
        <v>0</v>
      </c>
    </row>
    <row r="1010" spans="1:8" x14ac:dyDescent="0.2">
      <c r="A1010" t="s">
        <v>61</v>
      </c>
      <c r="B1010">
        <v>2003</v>
      </c>
      <c r="C1010">
        <v>13</v>
      </c>
      <c r="D1010" s="3">
        <v>11.3767</v>
      </c>
      <c r="E1010" s="3">
        <v>2.19</v>
      </c>
      <c r="F1010">
        <v>0</v>
      </c>
      <c r="G1010">
        <v>-5</v>
      </c>
      <c r="H1010" s="6">
        <v>0</v>
      </c>
    </row>
    <row r="1011" spans="1:8" x14ac:dyDescent="0.2">
      <c r="A1011" t="s">
        <v>828</v>
      </c>
      <c r="B1011">
        <v>2003</v>
      </c>
      <c r="C1011">
        <v>13</v>
      </c>
      <c r="D1011" s="3">
        <v>11.1768</v>
      </c>
      <c r="E1011" s="3">
        <v>5.03</v>
      </c>
      <c r="F1011">
        <v>1</v>
      </c>
      <c r="G1011">
        <v>12</v>
      </c>
      <c r="H1011" s="6">
        <v>13</v>
      </c>
    </row>
    <row r="1012" spans="1:8" x14ac:dyDescent="0.2">
      <c r="A1012" t="s">
        <v>467</v>
      </c>
      <c r="B1012">
        <v>2003</v>
      </c>
      <c r="C1012">
        <v>13</v>
      </c>
      <c r="D1012" s="3">
        <v>8.1845999999999997</v>
      </c>
      <c r="E1012" s="3">
        <v>4.05</v>
      </c>
      <c r="F1012">
        <v>0</v>
      </c>
      <c r="G1012">
        <v>-8</v>
      </c>
      <c r="H1012" s="6">
        <v>0</v>
      </c>
    </row>
    <row r="1013" spans="1:8" x14ac:dyDescent="0.2">
      <c r="A1013" t="s">
        <v>472</v>
      </c>
      <c r="B1013">
        <v>2003</v>
      </c>
      <c r="C1013">
        <v>13</v>
      </c>
      <c r="D1013" s="3">
        <v>3.1587999999999998</v>
      </c>
      <c r="E1013" s="3">
        <v>5.19</v>
      </c>
      <c r="F1013">
        <v>0</v>
      </c>
      <c r="G1013">
        <v>-22</v>
      </c>
      <c r="H1013" s="6">
        <v>0</v>
      </c>
    </row>
    <row r="1014" spans="1:8" x14ac:dyDescent="0.2">
      <c r="A1014" t="s">
        <v>541</v>
      </c>
      <c r="B1014">
        <v>2003</v>
      </c>
      <c r="C1014">
        <v>14</v>
      </c>
      <c r="D1014" s="3">
        <v>9.9985999999999997</v>
      </c>
      <c r="E1014" s="3">
        <v>-2.4</v>
      </c>
      <c r="F1014">
        <v>0</v>
      </c>
      <c r="G1014">
        <v>-4</v>
      </c>
      <c r="H1014" s="6">
        <v>0</v>
      </c>
    </row>
    <row r="1015" spans="1:8" x14ac:dyDescent="0.2">
      <c r="A1015" t="s">
        <v>758</v>
      </c>
      <c r="B1015">
        <v>2003</v>
      </c>
      <c r="C1015">
        <v>14</v>
      </c>
      <c r="D1015" s="3">
        <v>9.7222000000000008</v>
      </c>
      <c r="E1015" s="3">
        <v>-0.71</v>
      </c>
      <c r="F1015">
        <v>0</v>
      </c>
      <c r="G1015">
        <v>-11</v>
      </c>
      <c r="H1015" s="6">
        <v>0</v>
      </c>
    </row>
    <row r="1016" spans="1:8" x14ac:dyDescent="0.2">
      <c r="A1016" t="s">
        <v>30</v>
      </c>
      <c r="B1016">
        <v>2003</v>
      </c>
      <c r="C1016">
        <v>14</v>
      </c>
      <c r="D1016" s="3">
        <v>6.2336999999999998</v>
      </c>
      <c r="E1016" s="3">
        <v>-0.6</v>
      </c>
      <c r="F1016">
        <v>0</v>
      </c>
      <c r="G1016">
        <v>-10</v>
      </c>
      <c r="H1016" s="6">
        <v>0</v>
      </c>
    </row>
    <row r="1017" spans="1:8" x14ac:dyDescent="0.2">
      <c r="A1017" t="s">
        <v>904</v>
      </c>
      <c r="B1017">
        <v>2003</v>
      </c>
      <c r="C1017">
        <v>14</v>
      </c>
      <c r="D1017" s="3">
        <v>6.1672000000000002</v>
      </c>
      <c r="E1017" s="3">
        <v>-4.82</v>
      </c>
      <c r="F1017">
        <v>0</v>
      </c>
      <c r="G1017">
        <v>-12</v>
      </c>
      <c r="H1017" s="6">
        <v>0</v>
      </c>
    </row>
    <row r="1018" spans="1:8" x14ac:dyDescent="0.2">
      <c r="A1018" t="s">
        <v>228</v>
      </c>
      <c r="B1018">
        <v>2003</v>
      </c>
      <c r="C1018">
        <v>15</v>
      </c>
      <c r="D1018" s="3">
        <v>6.6974999999999998</v>
      </c>
      <c r="E1018" s="3">
        <v>0.99</v>
      </c>
      <c r="F1018">
        <v>0</v>
      </c>
      <c r="G1018">
        <v>-3</v>
      </c>
      <c r="H1018" s="6">
        <v>0</v>
      </c>
    </row>
    <row r="1019" spans="1:8" x14ac:dyDescent="0.2">
      <c r="A1019" t="s">
        <v>311</v>
      </c>
      <c r="B1019">
        <v>2003</v>
      </c>
      <c r="C1019">
        <v>15</v>
      </c>
      <c r="D1019" s="3">
        <v>1.9077999999999999</v>
      </c>
      <c r="E1019" s="3">
        <v>-2.08</v>
      </c>
      <c r="F1019">
        <v>0</v>
      </c>
      <c r="G1019">
        <v>-30</v>
      </c>
      <c r="H1019" s="6">
        <v>0</v>
      </c>
    </row>
    <row r="1020" spans="1:8" x14ac:dyDescent="0.2">
      <c r="A1020" t="s">
        <v>315</v>
      </c>
      <c r="B1020">
        <v>2003</v>
      </c>
      <c r="C1020">
        <v>15</v>
      </c>
      <c r="D1020" s="3">
        <v>0.7147</v>
      </c>
      <c r="E1020" s="3">
        <v>2.0699999999999998</v>
      </c>
      <c r="F1020">
        <v>0</v>
      </c>
      <c r="G1020">
        <v>-3</v>
      </c>
      <c r="H1020" s="6">
        <v>0</v>
      </c>
    </row>
    <row r="1021" spans="1:8" x14ac:dyDescent="0.2">
      <c r="A1021" t="s">
        <v>829</v>
      </c>
      <c r="B1021">
        <v>2003</v>
      </c>
      <c r="C1021">
        <v>15</v>
      </c>
      <c r="D1021" s="3">
        <v>-0.99850000000000005</v>
      </c>
      <c r="E1021" s="3">
        <v>0.52</v>
      </c>
      <c r="F1021">
        <v>0</v>
      </c>
      <c r="G1021">
        <v>-26</v>
      </c>
      <c r="H1021" s="6">
        <v>0</v>
      </c>
    </row>
    <row r="1022" spans="1:8" x14ac:dyDescent="0.2">
      <c r="A1022" t="s">
        <v>88</v>
      </c>
      <c r="B1022">
        <v>2003</v>
      </c>
      <c r="C1022">
        <v>16</v>
      </c>
      <c r="D1022" s="3">
        <v>1.9018999999999999</v>
      </c>
      <c r="E1022" s="3">
        <v>-4.09</v>
      </c>
      <c r="F1022">
        <v>0</v>
      </c>
      <c r="G1022">
        <v>-29</v>
      </c>
      <c r="H1022" s="6">
        <v>0</v>
      </c>
    </row>
    <row r="1023" spans="1:8" x14ac:dyDescent="0.2">
      <c r="A1023" t="s">
        <v>830</v>
      </c>
      <c r="B1023">
        <v>2003</v>
      </c>
      <c r="C1023">
        <v>16</v>
      </c>
      <c r="D1023" s="3">
        <v>0.71230000000000004</v>
      </c>
      <c r="E1023" s="3">
        <v>1.21</v>
      </c>
      <c r="F1023">
        <v>0</v>
      </c>
      <c r="G1023">
        <v>-31</v>
      </c>
      <c r="H1023" s="6">
        <v>0</v>
      </c>
    </row>
    <row r="1024" spans="1:8" x14ac:dyDescent="0.2">
      <c r="A1024" t="s">
        <v>831</v>
      </c>
      <c r="B1024">
        <v>2003</v>
      </c>
      <c r="C1024">
        <v>16</v>
      </c>
      <c r="D1024" s="3">
        <v>-8.6914999999999996</v>
      </c>
      <c r="E1024" s="3">
        <v>-3.85</v>
      </c>
      <c r="F1024">
        <v>0</v>
      </c>
      <c r="G1024">
        <v>-17</v>
      </c>
      <c r="H1024" s="6">
        <v>0</v>
      </c>
    </row>
    <row r="1025" spans="1:8" x14ac:dyDescent="0.2">
      <c r="A1025" t="s">
        <v>89</v>
      </c>
      <c r="B1025">
        <v>2003</v>
      </c>
      <c r="C1025">
        <v>16</v>
      </c>
      <c r="D1025" s="3">
        <v>-13.1767</v>
      </c>
      <c r="E1025" s="3">
        <v>7.87</v>
      </c>
      <c r="F1025">
        <v>0</v>
      </c>
      <c r="G1025">
        <v>-21</v>
      </c>
      <c r="H1025" s="6">
        <v>0</v>
      </c>
    </row>
    <row r="1026" spans="1:8" x14ac:dyDescent="0.2">
      <c r="A1026" t="s">
        <v>6</v>
      </c>
      <c r="B1026">
        <v>2002</v>
      </c>
      <c r="C1026">
        <v>1</v>
      </c>
      <c r="D1026" s="3">
        <v>32.966799999999999</v>
      </c>
      <c r="E1026" s="3">
        <v>7.52</v>
      </c>
      <c r="F1026">
        <v>2</v>
      </c>
      <c r="G1026">
        <v>53</v>
      </c>
      <c r="H1026" s="6">
        <f>54 / 2</f>
        <v>27</v>
      </c>
    </row>
    <row r="1027" spans="1:8" x14ac:dyDescent="0.2">
      <c r="A1027" t="s">
        <v>37</v>
      </c>
      <c r="B1027">
        <v>2002</v>
      </c>
      <c r="C1027">
        <v>1</v>
      </c>
      <c r="D1027" s="3">
        <v>29.7164</v>
      </c>
      <c r="E1027" s="3">
        <v>5.41</v>
      </c>
      <c r="F1027">
        <v>1</v>
      </c>
      <c r="G1027">
        <v>34</v>
      </c>
      <c r="H1027" s="6">
        <v>38</v>
      </c>
    </row>
    <row r="1028" spans="1:8" x14ac:dyDescent="0.2">
      <c r="A1028" t="s">
        <v>303</v>
      </c>
      <c r="B1028">
        <v>2002</v>
      </c>
      <c r="C1028">
        <v>1</v>
      </c>
      <c r="D1028" s="3">
        <v>27.005600000000001</v>
      </c>
      <c r="E1028" s="3">
        <v>5.12</v>
      </c>
      <c r="F1028">
        <v>6</v>
      </c>
      <c r="G1028">
        <v>84</v>
      </c>
      <c r="H1028" s="6">
        <f>84 / 6</f>
        <v>14</v>
      </c>
    </row>
    <row r="1029" spans="1:8" x14ac:dyDescent="0.2">
      <c r="A1029" t="s">
        <v>4</v>
      </c>
      <c r="B1029">
        <v>2002</v>
      </c>
      <c r="C1029">
        <v>1</v>
      </c>
      <c r="D1029" s="3">
        <v>26.685500000000001</v>
      </c>
      <c r="E1029" s="3">
        <v>8.91</v>
      </c>
      <c r="F1029">
        <v>4</v>
      </c>
      <c r="G1029">
        <v>47</v>
      </c>
      <c r="H1029" s="6">
        <f>56 / 4</f>
        <v>14</v>
      </c>
    </row>
    <row r="1030" spans="1:8" x14ac:dyDescent="0.2">
      <c r="A1030" t="s">
        <v>44</v>
      </c>
      <c r="B1030">
        <v>2002</v>
      </c>
      <c r="C1030">
        <v>2</v>
      </c>
      <c r="D1030" s="3">
        <v>24.456600000000002</v>
      </c>
      <c r="E1030" s="3">
        <v>-1.18</v>
      </c>
      <c r="F1030">
        <v>3</v>
      </c>
      <c r="G1030">
        <v>8</v>
      </c>
      <c r="H1030" s="6">
        <f>26 / 3</f>
        <v>8.6666666666666661</v>
      </c>
    </row>
    <row r="1031" spans="1:8" x14ac:dyDescent="0.2">
      <c r="A1031" t="s">
        <v>38</v>
      </c>
      <c r="B1031">
        <v>2002</v>
      </c>
      <c r="C1031">
        <v>2</v>
      </c>
      <c r="D1031" s="3">
        <v>23.7456</v>
      </c>
      <c r="E1031" s="3">
        <v>2.5499999999999998</v>
      </c>
      <c r="F1031">
        <v>4</v>
      </c>
      <c r="G1031">
        <v>39</v>
      </c>
      <c r="H1031" s="6">
        <f>48 / 4</f>
        <v>12</v>
      </c>
    </row>
    <row r="1032" spans="1:8" x14ac:dyDescent="0.2">
      <c r="A1032" t="s">
        <v>72</v>
      </c>
      <c r="B1032">
        <v>2002</v>
      </c>
      <c r="C1032">
        <v>2</v>
      </c>
      <c r="D1032" s="3">
        <v>19.1539</v>
      </c>
      <c r="E1032" s="3">
        <v>2.4900000000000002</v>
      </c>
      <c r="F1032">
        <v>1</v>
      </c>
      <c r="G1032">
        <v>-5</v>
      </c>
      <c r="H1032" s="6">
        <v>8</v>
      </c>
    </row>
    <row r="1033" spans="1:8" x14ac:dyDescent="0.2">
      <c r="A1033" t="s">
        <v>90</v>
      </c>
      <c r="B1033">
        <v>2002</v>
      </c>
      <c r="C1033">
        <v>2</v>
      </c>
      <c r="D1033" s="3">
        <v>17.788</v>
      </c>
      <c r="E1033" s="3">
        <v>3.72</v>
      </c>
      <c r="F1033">
        <v>3</v>
      </c>
      <c r="G1033">
        <v>18</v>
      </c>
      <c r="H1033" s="6">
        <f>26 / 3</f>
        <v>8.6666666666666661</v>
      </c>
    </row>
    <row r="1034" spans="1:8" x14ac:dyDescent="0.2">
      <c r="A1034" t="s">
        <v>21</v>
      </c>
      <c r="B1034">
        <v>2002</v>
      </c>
      <c r="C1034">
        <v>3</v>
      </c>
      <c r="D1034" s="3">
        <v>20.364699999999999</v>
      </c>
      <c r="E1034" s="3">
        <v>18.68</v>
      </c>
      <c r="F1034">
        <v>2</v>
      </c>
      <c r="G1034">
        <v>-8</v>
      </c>
      <c r="H1034" s="6">
        <f>13 / 2</f>
        <v>6.5</v>
      </c>
    </row>
    <row r="1035" spans="1:8" x14ac:dyDescent="0.2">
      <c r="A1035" t="s">
        <v>227</v>
      </c>
      <c r="B1035">
        <v>2002</v>
      </c>
      <c r="C1035">
        <v>3</v>
      </c>
      <c r="D1035" s="3">
        <v>19.392700000000001</v>
      </c>
      <c r="E1035" s="3">
        <v>4.3099999999999996</v>
      </c>
      <c r="F1035">
        <v>1</v>
      </c>
      <c r="G1035">
        <v>15</v>
      </c>
      <c r="H1035" s="6">
        <v>17</v>
      </c>
    </row>
    <row r="1036" spans="1:8" x14ac:dyDescent="0.2">
      <c r="A1036" t="s">
        <v>28</v>
      </c>
      <c r="B1036">
        <v>2002</v>
      </c>
      <c r="C1036">
        <v>3</v>
      </c>
      <c r="D1036" s="3">
        <v>19.070399999999999</v>
      </c>
      <c r="E1036" s="3">
        <v>-7.05</v>
      </c>
      <c r="F1036">
        <v>2</v>
      </c>
      <c r="G1036">
        <v>25</v>
      </c>
      <c r="H1036" s="6">
        <f>30 / 2</f>
        <v>15</v>
      </c>
    </row>
    <row r="1037" spans="1:8" x14ac:dyDescent="0.2">
      <c r="A1037" t="s">
        <v>387</v>
      </c>
      <c r="B1037">
        <v>2002</v>
      </c>
      <c r="C1037">
        <v>3</v>
      </c>
      <c r="D1037" s="3">
        <v>17.6401</v>
      </c>
      <c r="E1037" s="3">
        <v>-0.36</v>
      </c>
      <c r="F1037">
        <v>1</v>
      </c>
      <c r="G1037">
        <v>8</v>
      </c>
      <c r="H1037" s="6">
        <v>12</v>
      </c>
    </row>
    <row r="1038" spans="1:8" x14ac:dyDescent="0.2">
      <c r="A1038" t="s">
        <v>66</v>
      </c>
      <c r="B1038">
        <v>2002</v>
      </c>
      <c r="C1038">
        <v>4</v>
      </c>
      <c r="D1038" s="3">
        <v>23.136399999999998</v>
      </c>
      <c r="E1038" s="3">
        <v>9.8699999999999992</v>
      </c>
      <c r="F1038">
        <v>2</v>
      </c>
      <c r="G1038">
        <v>10</v>
      </c>
      <c r="H1038" s="6">
        <f>20 / 2</f>
        <v>10</v>
      </c>
    </row>
    <row r="1039" spans="1:8" x14ac:dyDescent="0.2">
      <c r="A1039" t="s">
        <v>27</v>
      </c>
      <c r="B1039">
        <v>2002</v>
      </c>
      <c r="C1039">
        <v>4</v>
      </c>
      <c r="D1039" s="3">
        <v>21.672599999999999</v>
      </c>
      <c r="E1039" s="3">
        <v>8.25</v>
      </c>
      <c r="F1039">
        <v>2</v>
      </c>
      <c r="G1039">
        <v>37</v>
      </c>
      <c r="H1039" s="6">
        <f>41 / 2</f>
        <v>20.5</v>
      </c>
    </row>
    <row r="1040" spans="1:8" x14ac:dyDescent="0.2">
      <c r="A1040" t="s">
        <v>384</v>
      </c>
      <c r="B1040">
        <v>2002</v>
      </c>
      <c r="C1040">
        <v>4</v>
      </c>
      <c r="D1040" s="3">
        <v>20.983699999999999</v>
      </c>
      <c r="E1040" s="3">
        <v>1.89</v>
      </c>
      <c r="F1040">
        <v>0</v>
      </c>
      <c r="G1040">
        <v>-4</v>
      </c>
      <c r="H1040" s="6">
        <v>0</v>
      </c>
    </row>
    <row r="1041" spans="1:8" x14ac:dyDescent="0.2">
      <c r="A1041" t="s">
        <v>5</v>
      </c>
      <c r="B1041">
        <v>2002</v>
      </c>
      <c r="C1041">
        <v>4</v>
      </c>
      <c r="D1041" s="3">
        <v>19.8994</v>
      </c>
      <c r="E1041" s="3">
        <v>2.33</v>
      </c>
      <c r="F1041">
        <v>1</v>
      </c>
      <c r="G1041">
        <v>-11</v>
      </c>
      <c r="H1041" s="6">
        <v>5</v>
      </c>
    </row>
    <row r="1042" spans="1:8" x14ac:dyDescent="0.2">
      <c r="A1042" t="s">
        <v>9</v>
      </c>
      <c r="B1042">
        <v>2002</v>
      </c>
      <c r="C1042">
        <v>5</v>
      </c>
      <c r="D1042" s="3">
        <v>26.531300000000002</v>
      </c>
      <c r="E1042" s="3">
        <v>2.1800000000000002</v>
      </c>
      <c r="F1042">
        <v>0</v>
      </c>
      <c r="G1042">
        <v>-1</v>
      </c>
      <c r="H1042" s="6">
        <v>0</v>
      </c>
    </row>
    <row r="1043" spans="1:8" x14ac:dyDescent="0.2">
      <c r="A1043" t="s">
        <v>2</v>
      </c>
      <c r="B1043">
        <v>2002</v>
      </c>
      <c r="C1043">
        <v>5</v>
      </c>
      <c r="D1043" s="3">
        <v>23.030200000000001</v>
      </c>
      <c r="E1043" s="3">
        <v>13.51</v>
      </c>
      <c r="F1043">
        <v>5</v>
      </c>
      <c r="G1043">
        <v>38</v>
      </c>
      <c r="H1043" s="6">
        <f>50 / 5</f>
        <v>10</v>
      </c>
    </row>
    <row r="1044" spans="1:8" x14ac:dyDescent="0.2">
      <c r="A1044" t="s">
        <v>12</v>
      </c>
      <c r="B1044">
        <v>2002</v>
      </c>
      <c r="C1044">
        <v>5</v>
      </c>
      <c r="D1044" s="3">
        <v>22.4481</v>
      </c>
      <c r="E1044" s="3">
        <v>0.05</v>
      </c>
      <c r="F1044">
        <v>0</v>
      </c>
      <c r="G1044">
        <v>-2</v>
      </c>
      <c r="H1044" s="6">
        <v>0</v>
      </c>
    </row>
    <row r="1045" spans="1:8" x14ac:dyDescent="0.2">
      <c r="A1045" t="s">
        <v>8</v>
      </c>
      <c r="B1045">
        <v>2002</v>
      </c>
      <c r="C1045">
        <v>5</v>
      </c>
      <c r="D1045" s="3">
        <v>15.950900000000001</v>
      </c>
      <c r="E1045" s="3">
        <v>-2.52</v>
      </c>
      <c r="F1045">
        <v>0</v>
      </c>
      <c r="G1045">
        <v>-13</v>
      </c>
      <c r="H1045" s="6">
        <v>0</v>
      </c>
    </row>
    <row r="1046" spans="1:8" x14ac:dyDescent="0.2">
      <c r="A1046" t="s">
        <v>3</v>
      </c>
      <c r="B1046">
        <v>2002</v>
      </c>
      <c r="C1046">
        <v>6</v>
      </c>
      <c r="D1046" s="3">
        <v>19.8308</v>
      </c>
      <c r="E1046" s="3">
        <v>3.32</v>
      </c>
      <c r="F1046">
        <v>0</v>
      </c>
      <c r="G1046">
        <v>-7</v>
      </c>
      <c r="H1046" s="6">
        <v>0</v>
      </c>
    </row>
    <row r="1047" spans="1:8" x14ac:dyDescent="0.2">
      <c r="A1047" t="s">
        <v>539</v>
      </c>
      <c r="B1047">
        <v>2002</v>
      </c>
      <c r="C1047">
        <v>6</v>
      </c>
      <c r="D1047" s="3">
        <v>17.504799999999999</v>
      </c>
      <c r="E1047" s="3">
        <v>2.42</v>
      </c>
      <c r="F1047">
        <v>0</v>
      </c>
      <c r="G1047">
        <v>-8</v>
      </c>
      <c r="H1047" s="6">
        <v>0</v>
      </c>
    </row>
    <row r="1048" spans="1:8" x14ac:dyDescent="0.2">
      <c r="A1048" t="s">
        <v>45</v>
      </c>
      <c r="B1048">
        <v>2002</v>
      </c>
      <c r="C1048">
        <v>6</v>
      </c>
      <c r="D1048" s="3">
        <v>16.955400000000001</v>
      </c>
      <c r="E1048" s="3">
        <v>-0.89</v>
      </c>
      <c r="F1048">
        <v>1</v>
      </c>
      <c r="G1048">
        <v>-6</v>
      </c>
      <c r="H1048" s="6">
        <v>7</v>
      </c>
    </row>
    <row r="1049" spans="1:8" x14ac:dyDescent="0.2">
      <c r="A1049" t="s">
        <v>78</v>
      </c>
      <c r="B1049">
        <v>2002</v>
      </c>
      <c r="C1049">
        <v>6</v>
      </c>
      <c r="D1049" s="3">
        <v>16.816199999999998</v>
      </c>
      <c r="E1049" s="3">
        <v>7.27</v>
      </c>
      <c r="F1049">
        <v>2</v>
      </c>
      <c r="G1049">
        <v>15</v>
      </c>
      <c r="H1049" s="6">
        <f>17 / 2</f>
        <v>8.5</v>
      </c>
    </row>
    <row r="1050" spans="1:8" x14ac:dyDescent="0.2">
      <c r="A1050" t="s">
        <v>76</v>
      </c>
      <c r="B1050">
        <v>2002</v>
      </c>
      <c r="C1050">
        <v>7</v>
      </c>
      <c r="D1050" s="3">
        <v>17.939699999999998</v>
      </c>
      <c r="E1050" s="3">
        <v>5.44</v>
      </c>
      <c r="F1050">
        <v>1</v>
      </c>
      <c r="G1050">
        <v>-1</v>
      </c>
      <c r="H1050" s="6">
        <v>12</v>
      </c>
    </row>
    <row r="1051" spans="1:8" x14ac:dyDescent="0.2">
      <c r="A1051" t="s">
        <v>31</v>
      </c>
      <c r="B1051">
        <v>2002</v>
      </c>
      <c r="C1051">
        <v>7</v>
      </c>
      <c r="D1051" s="3">
        <v>17.598700000000001</v>
      </c>
      <c r="E1051" s="3">
        <v>-1.7</v>
      </c>
      <c r="F1051">
        <v>1</v>
      </c>
      <c r="G1051">
        <v>8</v>
      </c>
      <c r="H1051" s="6">
        <v>11</v>
      </c>
    </row>
    <row r="1052" spans="1:8" x14ac:dyDescent="0.2">
      <c r="A1052" t="s">
        <v>19</v>
      </c>
      <c r="B1052">
        <v>2002</v>
      </c>
      <c r="C1052">
        <v>7</v>
      </c>
      <c r="D1052" s="3">
        <v>16.779900000000001</v>
      </c>
      <c r="E1052" s="3">
        <v>2.1800000000000002</v>
      </c>
      <c r="F1052">
        <v>0</v>
      </c>
      <c r="G1052">
        <v>-8</v>
      </c>
      <c r="H1052" s="6">
        <v>0</v>
      </c>
    </row>
    <row r="1053" spans="1:8" x14ac:dyDescent="0.2">
      <c r="A1053" t="s">
        <v>305</v>
      </c>
      <c r="B1053">
        <v>2002</v>
      </c>
      <c r="C1053">
        <v>7</v>
      </c>
      <c r="D1053" s="3">
        <v>16.567299999999999</v>
      </c>
      <c r="E1053" s="3">
        <v>7.32</v>
      </c>
      <c r="F1053">
        <v>1</v>
      </c>
      <c r="G1053">
        <v>4</v>
      </c>
      <c r="H1053" s="6">
        <v>9</v>
      </c>
    </row>
    <row r="1054" spans="1:8" x14ac:dyDescent="0.2">
      <c r="A1054" t="s">
        <v>459</v>
      </c>
      <c r="B1054">
        <v>2002</v>
      </c>
      <c r="C1054">
        <v>8</v>
      </c>
      <c r="D1054" s="3">
        <v>22.3704</v>
      </c>
      <c r="E1054" s="3">
        <v>3.71</v>
      </c>
      <c r="F1054">
        <v>1</v>
      </c>
      <c r="G1054">
        <v>-7</v>
      </c>
      <c r="H1054" s="6">
        <v>16</v>
      </c>
    </row>
    <row r="1055" spans="1:8" x14ac:dyDescent="0.2">
      <c r="A1055" t="s">
        <v>26</v>
      </c>
      <c r="B1055">
        <v>2002</v>
      </c>
      <c r="C1055">
        <v>8</v>
      </c>
      <c r="D1055" s="3">
        <v>17.101800000000001</v>
      </c>
      <c r="E1055" s="3">
        <v>-1.69</v>
      </c>
      <c r="F1055">
        <v>1</v>
      </c>
      <c r="G1055">
        <v>12</v>
      </c>
      <c r="H1055" s="6">
        <v>19</v>
      </c>
    </row>
    <row r="1056" spans="1:8" x14ac:dyDescent="0.2">
      <c r="A1056" t="s">
        <v>24</v>
      </c>
      <c r="B1056">
        <v>2002</v>
      </c>
      <c r="C1056">
        <v>8</v>
      </c>
      <c r="D1056" s="3">
        <v>15.7225</v>
      </c>
      <c r="E1056" s="3">
        <v>10.46</v>
      </c>
      <c r="F1056">
        <v>2</v>
      </c>
      <c r="G1056">
        <v>17</v>
      </c>
      <c r="H1056" s="6">
        <f>26 / 2</f>
        <v>13</v>
      </c>
    </row>
    <row r="1057" spans="1:8" x14ac:dyDescent="0.2">
      <c r="A1057" t="s">
        <v>17</v>
      </c>
      <c r="B1057">
        <v>2002</v>
      </c>
      <c r="C1057">
        <v>8</v>
      </c>
      <c r="D1057" s="3">
        <v>13.3461</v>
      </c>
      <c r="E1057" s="3">
        <v>8.01</v>
      </c>
      <c r="F1057">
        <v>1</v>
      </c>
      <c r="G1057">
        <v>-20</v>
      </c>
      <c r="H1057" s="6">
        <v>10</v>
      </c>
    </row>
    <row r="1058" spans="1:8" x14ac:dyDescent="0.2">
      <c r="A1058" t="s">
        <v>47</v>
      </c>
      <c r="B1058">
        <v>2002</v>
      </c>
      <c r="C1058">
        <v>9</v>
      </c>
      <c r="D1058" s="3">
        <v>18.427</v>
      </c>
      <c r="E1058" s="3">
        <v>-4.66</v>
      </c>
      <c r="F1058">
        <v>0</v>
      </c>
      <c r="G1058">
        <v>-22</v>
      </c>
      <c r="H1058" s="6">
        <v>0</v>
      </c>
    </row>
    <row r="1059" spans="1:8" x14ac:dyDescent="0.2">
      <c r="A1059" t="s">
        <v>685</v>
      </c>
      <c r="B1059">
        <v>2002</v>
      </c>
      <c r="C1059">
        <v>9</v>
      </c>
      <c r="D1059" s="3">
        <v>17.364000000000001</v>
      </c>
      <c r="E1059" s="3">
        <v>7.26</v>
      </c>
      <c r="F1059">
        <v>0</v>
      </c>
      <c r="G1059">
        <v>-19</v>
      </c>
      <c r="H1059" s="6">
        <v>0</v>
      </c>
    </row>
    <row r="1060" spans="1:8" x14ac:dyDescent="0.2">
      <c r="A1060" t="s">
        <v>61</v>
      </c>
      <c r="B1060">
        <v>2002</v>
      </c>
      <c r="C1060">
        <v>9</v>
      </c>
      <c r="D1060" s="3">
        <v>15.306800000000001</v>
      </c>
      <c r="E1060" s="3">
        <v>-0.41</v>
      </c>
      <c r="F1060">
        <v>0</v>
      </c>
      <c r="G1060">
        <v>-16</v>
      </c>
      <c r="H1060" s="6">
        <v>0</v>
      </c>
    </row>
    <row r="1061" spans="1:8" x14ac:dyDescent="0.2">
      <c r="A1061" t="s">
        <v>220</v>
      </c>
      <c r="B1061">
        <v>2002</v>
      </c>
      <c r="C1061">
        <v>9</v>
      </c>
      <c r="D1061" s="3">
        <v>10.027699999999999</v>
      </c>
      <c r="E1061" s="3">
        <v>0.89</v>
      </c>
      <c r="F1061">
        <v>0</v>
      </c>
      <c r="G1061">
        <v>-10</v>
      </c>
      <c r="H1061" s="6">
        <v>0</v>
      </c>
    </row>
    <row r="1062" spans="1:8" x14ac:dyDescent="0.2">
      <c r="A1062" t="s">
        <v>463</v>
      </c>
      <c r="B1062">
        <v>2002</v>
      </c>
      <c r="C1062">
        <v>10</v>
      </c>
      <c r="D1062" s="3">
        <v>18.302</v>
      </c>
      <c r="E1062" s="3">
        <v>1.41</v>
      </c>
      <c r="F1062">
        <v>3</v>
      </c>
      <c r="G1062">
        <v>14</v>
      </c>
      <c r="H1062" s="6">
        <f>26 / 3</f>
        <v>8.6666666666666661</v>
      </c>
    </row>
    <row r="1063" spans="1:8" x14ac:dyDescent="0.2">
      <c r="A1063" t="s">
        <v>10</v>
      </c>
      <c r="B1063">
        <v>2002</v>
      </c>
      <c r="C1063">
        <v>10</v>
      </c>
      <c r="D1063" s="3">
        <v>17.537199999999999</v>
      </c>
      <c r="E1063" s="3">
        <v>5.1100000000000003</v>
      </c>
      <c r="F1063">
        <v>0</v>
      </c>
      <c r="G1063">
        <v>-11</v>
      </c>
      <c r="H1063" s="6">
        <v>0</v>
      </c>
    </row>
    <row r="1064" spans="1:8" x14ac:dyDescent="0.2">
      <c r="A1064" t="s">
        <v>1077</v>
      </c>
      <c r="B1064">
        <v>2002</v>
      </c>
      <c r="C1064">
        <v>10</v>
      </c>
      <c r="D1064" s="3">
        <v>12.710699999999999</v>
      </c>
      <c r="E1064" s="3">
        <v>10.14</v>
      </c>
      <c r="F1064">
        <v>0</v>
      </c>
      <c r="G1064">
        <v>-9</v>
      </c>
      <c r="H1064" s="6">
        <v>0</v>
      </c>
    </row>
    <row r="1065" spans="1:8" x14ac:dyDescent="0.2">
      <c r="A1065" t="s">
        <v>1068</v>
      </c>
      <c r="B1065">
        <v>2002</v>
      </c>
      <c r="C1065">
        <v>10</v>
      </c>
      <c r="D1065" s="3">
        <v>11.404299999999999</v>
      </c>
      <c r="E1065" s="3">
        <v>-4.8099999999999996</v>
      </c>
      <c r="F1065">
        <v>0</v>
      </c>
      <c r="G1065">
        <v>-12</v>
      </c>
      <c r="H1065" s="6">
        <v>0</v>
      </c>
    </row>
    <row r="1066" spans="1:8" x14ac:dyDescent="0.2">
      <c r="A1066" t="s">
        <v>552</v>
      </c>
      <c r="B1066">
        <v>2002</v>
      </c>
      <c r="C1066">
        <v>11</v>
      </c>
      <c r="D1066" s="3">
        <v>12.694100000000001</v>
      </c>
      <c r="E1066" s="3">
        <v>1.98</v>
      </c>
      <c r="F1066">
        <v>2</v>
      </c>
      <c r="G1066">
        <v>-2</v>
      </c>
      <c r="H1066" s="6">
        <f>10 / 2</f>
        <v>5</v>
      </c>
    </row>
    <row r="1067" spans="1:8" x14ac:dyDescent="0.2">
      <c r="A1067" t="s">
        <v>544</v>
      </c>
      <c r="B1067">
        <v>2002</v>
      </c>
      <c r="C1067">
        <v>11</v>
      </c>
      <c r="D1067" s="3">
        <v>11.747</v>
      </c>
      <c r="E1067" s="3">
        <v>2.2999999999999998</v>
      </c>
      <c r="F1067">
        <v>0</v>
      </c>
      <c r="G1067">
        <v>-7</v>
      </c>
      <c r="H1067" s="6">
        <v>0</v>
      </c>
    </row>
    <row r="1068" spans="1:8" x14ac:dyDescent="0.2">
      <c r="A1068" t="s">
        <v>968</v>
      </c>
      <c r="B1068">
        <v>2002</v>
      </c>
      <c r="C1068">
        <v>11</v>
      </c>
      <c r="D1068" s="3">
        <v>11.4254</v>
      </c>
      <c r="E1068" s="3">
        <v>-4.3899999999999997</v>
      </c>
      <c r="F1068">
        <v>1</v>
      </c>
      <c r="G1068">
        <v>-1</v>
      </c>
      <c r="H1068" s="6">
        <v>7</v>
      </c>
    </row>
    <row r="1069" spans="1:8" x14ac:dyDescent="0.2">
      <c r="A1069" t="s">
        <v>382</v>
      </c>
      <c r="B1069">
        <v>2002</v>
      </c>
      <c r="C1069">
        <v>11</v>
      </c>
      <c r="D1069" s="3">
        <v>10.6427</v>
      </c>
      <c r="E1069" s="3">
        <v>-0.35</v>
      </c>
      <c r="F1069">
        <v>0</v>
      </c>
      <c r="G1069">
        <v>-13</v>
      </c>
      <c r="H1069" s="6">
        <v>0</v>
      </c>
    </row>
    <row r="1070" spans="1:8" x14ac:dyDescent="0.2">
      <c r="A1070" t="s">
        <v>380</v>
      </c>
      <c r="B1070">
        <v>2002</v>
      </c>
      <c r="C1070">
        <v>12</v>
      </c>
      <c r="D1070" s="3">
        <v>16.054200000000002</v>
      </c>
      <c r="E1070" s="3">
        <v>3.57</v>
      </c>
      <c r="F1070">
        <v>0</v>
      </c>
      <c r="G1070">
        <v>-19</v>
      </c>
      <c r="H1070" s="6">
        <v>0</v>
      </c>
    </row>
    <row r="1071" spans="1:8" x14ac:dyDescent="0.2">
      <c r="A1071" t="s">
        <v>828</v>
      </c>
      <c r="B1071">
        <v>2002</v>
      </c>
      <c r="C1071">
        <v>12</v>
      </c>
      <c r="D1071" s="3">
        <v>15.779199999999999</v>
      </c>
      <c r="E1071" s="3">
        <v>-1.51</v>
      </c>
      <c r="F1071">
        <v>1</v>
      </c>
      <c r="G1071">
        <v>-3</v>
      </c>
      <c r="H1071" s="6">
        <v>2</v>
      </c>
    </row>
    <row r="1072" spans="1:8" x14ac:dyDescent="0.2">
      <c r="A1072" t="s">
        <v>33</v>
      </c>
      <c r="B1072">
        <v>2002</v>
      </c>
      <c r="C1072">
        <v>12</v>
      </c>
      <c r="D1072" s="3">
        <v>14.510199999999999</v>
      </c>
      <c r="E1072" s="3">
        <v>1.29</v>
      </c>
      <c r="F1072">
        <v>3</v>
      </c>
      <c r="G1072">
        <v>32</v>
      </c>
      <c r="H1072" s="6">
        <f>38 / 3</f>
        <v>12.666666666666666</v>
      </c>
    </row>
    <row r="1073" spans="1:8" x14ac:dyDescent="0.2">
      <c r="A1073" t="s">
        <v>25</v>
      </c>
      <c r="B1073">
        <v>2002</v>
      </c>
      <c r="C1073">
        <v>12</v>
      </c>
      <c r="D1073" s="3">
        <v>11.3109</v>
      </c>
      <c r="E1073" s="3">
        <v>2.39</v>
      </c>
      <c r="F1073">
        <v>1</v>
      </c>
      <c r="G1073">
        <v>-11</v>
      </c>
      <c r="H1073" s="6">
        <v>1</v>
      </c>
    </row>
    <row r="1074" spans="1:8" x14ac:dyDescent="0.2">
      <c r="A1074" t="s">
        <v>52</v>
      </c>
      <c r="B1074">
        <v>2002</v>
      </c>
      <c r="C1074">
        <v>13</v>
      </c>
      <c r="D1074" s="3">
        <v>14.1175</v>
      </c>
      <c r="E1074" s="3">
        <v>1.57</v>
      </c>
      <c r="F1074">
        <v>0</v>
      </c>
      <c r="G1074">
        <v>-15</v>
      </c>
      <c r="H1074" s="6">
        <v>0</v>
      </c>
    </row>
    <row r="1075" spans="1:8" x14ac:dyDescent="0.2">
      <c r="A1075" t="s">
        <v>1067</v>
      </c>
      <c r="B1075">
        <v>2002</v>
      </c>
      <c r="C1075">
        <v>13</v>
      </c>
      <c r="D1075" s="3">
        <v>10.7621</v>
      </c>
      <c r="E1075" s="3">
        <v>3.85</v>
      </c>
      <c r="F1075">
        <v>1</v>
      </c>
      <c r="G1075">
        <v>-5</v>
      </c>
      <c r="H1075" s="6">
        <v>4</v>
      </c>
    </row>
    <row r="1076" spans="1:8" x14ac:dyDescent="0.2">
      <c r="A1076" t="s">
        <v>143</v>
      </c>
      <c r="B1076">
        <v>2002</v>
      </c>
      <c r="C1076">
        <v>13</v>
      </c>
      <c r="D1076" s="3">
        <v>9.2499000000000002</v>
      </c>
      <c r="E1076" s="3">
        <v>1.44</v>
      </c>
      <c r="F1076">
        <v>0</v>
      </c>
      <c r="G1076">
        <v>-29</v>
      </c>
      <c r="H1076" s="6">
        <v>0</v>
      </c>
    </row>
    <row r="1077" spans="1:8" x14ac:dyDescent="0.2">
      <c r="A1077" t="s">
        <v>51</v>
      </c>
      <c r="B1077">
        <v>2002</v>
      </c>
      <c r="C1077">
        <v>13</v>
      </c>
      <c r="D1077" s="3">
        <v>3.2856000000000001</v>
      </c>
      <c r="E1077" s="3">
        <v>6.33</v>
      </c>
      <c r="F1077">
        <v>0</v>
      </c>
      <c r="G1077">
        <v>-5</v>
      </c>
      <c r="H1077" s="6">
        <v>0</v>
      </c>
    </row>
    <row r="1078" spans="1:8" x14ac:dyDescent="0.2">
      <c r="A1078" t="s">
        <v>1080</v>
      </c>
      <c r="B1078">
        <v>2002</v>
      </c>
      <c r="C1078">
        <v>14</v>
      </c>
      <c r="D1078" s="3">
        <v>8.8843999999999994</v>
      </c>
      <c r="E1078" s="3">
        <v>2.86</v>
      </c>
      <c r="F1078">
        <v>0</v>
      </c>
      <c r="G1078">
        <v>-5</v>
      </c>
      <c r="H1078" s="6">
        <v>0</v>
      </c>
    </row>
    <row r="1079" spans="1:8" x14ac:dyDescent="0.2">
      <c r="A1079" t="s">
        <v>1078</v>
      </c>
      <c r="B1079">
        <v>2002</v>
      </c>
      <c r="C1079">
        <v>14</v>
      </c>
      <c r="D1079" s="3">
        <v>4.9619</v>
      </c>
      <c r="E1079" s="3">
        <v>7.24</v>
      </c>
      <c r="F1079">
        <v>0</v>
      </c>
      <c r="G1079">
        <v>-12</v>
      </c>
      <c r="H1079" s="6">
        <v>0</v>
      </c>
    </row>
    <row r="1080" spans="1:8" x14ac:dyDescent="0.2">
      <c r="A1080" t="s">
        <v>71</v>
      </c>
      <c r="B1080">
        <v>2002</v>
      </c>
      <c r="C1080">
        <v>14</v>
      </c>
      <c r="D1080" s="3">
        <v>1.1071</v>
      </c>
      <c r="E1080" s="3">
        <v>3.54</v>
      </c>
      <c r="F1080">
        <v>0</v>
      </c>
      <c r="G1080">
        <v>-17</v>
      </c>
      <c r="H1080" s="6">
        <v>0</v>
      </c>
    </row>
    <row r="1081" spans="1:8" x14ac:dyDescent="0.2">
      <c r="A1081" t="s">
        <v>551</v>
      </c>
      <c r="B1081">
        <v>2002</v>
      </c>
      <c r="C1081">
        <v>14</v>
      </c>
      <c r="D1081" s="3">
        <v>0.91669999999999996</v>
      </c>
      <c r="E1081" s="3">
        <v>-3.19</v>
      </c>
      <c r="F1081">
        <v>0</v>
      </c>
      <c r="G1081">
        <v>-17</v>
      </c>
      <c r="H1081" s="6">
        <v>0</v>
      </c>
    </row>
    <row r="1082" spans="1:8" x14ac:dyDescent="0.2">
      <c r="A1082" t="s">
        <v>241</v>
      </c>
      <c r="B1082">
        <v>2002</v>
      </c>
      <c r="C1082">
        <v>15</v>
      </c>
      <c r="D1082" s="3">
        <v>3.4047000000000001</v>
      </c>
      <c r="E1082" s="3">
        <v>-1.9</v>
      </c>
      <c r="F1082">
        <v>0</v>
      </c>
      <c r="G1082">
        <v>-11</v>
      </c>
      <c r="H1082" s="6">
        <v>0</v>
      </c>
    </row>
    <row r="1083" spans="1:8" x14ac:dyDescent="0.2">
      <c r="A1083" t="s">
        <v>759</v>
      </c>
      <c r="B1083">
        <v>2002</v>
      </c>
      <c r="C1083">
        <v>15</v>
      </c>
      <c r="D1083" s="3">
        <v>3.2763</v>
      </c>
      <c r="E1083" s="3">
        <v>-0.14000000000000001</v>
      </c>
      <c r="F1083">
        <v>0</v>
      </c>
      <c r="G1083">
        <v>-8</v>
      </c>
      <c r="H1083" s="6">
        <v>0</v>
      </c>
    </row>
    <row r="1084" spans="1:8" x14ac:dyDescent="0.2">
      <c r="A1084" t="s">
        <v>1079</v>
      </c>
      <c r="B1084">
        <v>2002</v>
      </c>
      <c r="C1084">
        <v>15</v>
      </c>
      <c r="D1084" s="3">
        <v>-3.073</v>
      </c>
      <c r="E1084" s="3">
        <v>-5.36</v>
      </c>
      <c r="F1084">
        <v>0</v>
      </c>
      <c r="G1084">
        <v>-8</v>
      </c>
      <c r="H1084" s="6">
        <v>0</v>
      </c>
    </row>
    <row r="1085" spans="1:8" x14ac:dyDescent="0.2">
      <c r="A1085" t="s">
        <v>59</v>
      </c>
      <c r="B1085">
        <v>2002</v>
      </c>
      <c r="C1085">
        <v>15</v>
      </c>
      <c r="D1085" s="3">
        <v>-6.0522</v>
      </c>
      <c r="E1085" s="3">
        <v>0.67</v>
      </c>
      <c r="F1085">
        <v>0</v>
      </c>
      <c r="G1085">
        <v>-19</v>
      </c>
      <c r="H1085" s="6">
        <v>0</v>
      </c>
    </row>
    <row r="1086" spans="1:8" x14ac:dyDescent="0.2">
      <c r="A1086" t="s">
        <v>541</v>
      </c>
      <c r="B1086">
        <v>2002</v>
      </c>
      <c r="C1086">
        <v>16</v>
      </c>
      <c r="D1086" s="3">
        <v>-1.0639000000000001</v>
      </c>
      <c r="E1086" s="3">
        <v>-3.17</v>
      </c>
      <c r="F1086">
        <v>0</v>
      </c>
      <c r="G1086">
        <v>-11</v>
      </c>
      <c r="H1086" s="6">
        <v>0</v>
      </c>
    </row>
    <row r="1087" spans="1:8" x14ac:dyDescent="0.2">
      <c r="A1087" t="s">
        <v>309</v>
      </c>
      <c r="B1087">
        <v>2002</v>
      </c>
      <c r="C1087">
        <v>16</v>
      </c>
      <c r="D1087" s="3">
        <v>-1.6889000000000001</v>
      </c>
      <c r="E1087" s="3">
        <v>-1.1499999999999999</v>
      </c>
      <c r="F1087">
        <v>0</v>
      </c>
      <c r="G1087">
        <v>-15</v>
      </c>
      <c r="H1087" s="6">
        <v>0</v>
      </c>
    </row>
    <row r="1088" spans="1:8" x14ac:dyDescent="0.2">
      <c r="A1088" t="s">
        <v>239</v>
      </c>
      <c r="B1088">
        <v>2002</v>
      </c>
      <c r="C1088">
        <v>16</v>
      </c>
      <c r="D1088" s="3">
        <v>-3.0207999999999999</v>
      </c>
      <c r="E1088" s="3">
        <v>-2.35</v>
      </c>
      <c r="F1088">
        <v>0</v>
      </c>
      <c r="G1088">
        <v>-38</v>
      </c>
      <c r="H1088" s="6">
        <v>0</v>
      </c>
    </row>
    <row r="1089" spans="1:8" x14ac:dyDescent="0.2">
      <c r="A1089" t="s">
        <v>468</v>
      </c>
      <c r="B1089">
        <v>2002</v>
      </c>
      <c r="C1089">
        <v>16</v>
      </c>
      <c r="D1089" s="3">
        <v>-5.0396000000000001</v>
      </c>
      <c r="E1089" s="3">
        <v>-1.4</v>
      </c>
      <c r="F1089">
        <v>0</v>
      </c>
      <c r="G1089">
        <v>-47</v>
      </c>
      <c r="H1089" s="6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69"/>
  <sheetViews>
    <sheetView workbookViewId="0">
      <selection activeCell="A32" sqref="A32:IV32"/>
    </sheetView>
  </sheetViews>
  <sheetFormatPr baseColWidth="10" defaultRowHeight="16" x14ac:dyDescent="0.2"/>
  <cols>
    <col min="1" max="1" width="17.33203125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1178</v>
      </c>
      <c r="E1" s="1" t="s">
        <v>1176</v>
      </c>
      <c r="F1" s="1" t="s">
        <v>65</v>
      </c>
      <c r="G1" s="1" t="s">
        <v>91</v>
      </c>
      <c r="H1" s="1" t="s">
        <v>92</v>
      </c>
    </row>
    <row r="2" spans="1:8" x14ac:dyDescent="0.2">
      <c r="A2" s="2" t="s">
        <v>28</v>
      </c>
      <c r="B2">
        <v>2013</v>
      </c>
      <c r="C2" s="2">
        <v>8</v>
      </c>
      <c r="D2" s="7">
        <v>25.158300000000001</v>
      </c>
      <c r="E2" s="3">
        <v>-4.6900000000000004</v>
      </c>
      <c r="F2">
        <v>0</v>
      </c>
      <c r="G2">
        <v>-18</v>
      </c>
      <c r="H2" s="6">
        <v>0</v>
      </c>
    </row>
    <row r="3" spans="1:8" x14ac:dyDescent="0.2">
      <c r="A3" t="s">
        <v>22</v>
      </c>
      <c r="B3">
        <v>2012</v>
      </c>
      <c r="C3">
        <v>8</v>
      </c>
      <c r="D3" s="3">
        <v>22.532</v>
      </c>
      <c r="E3" s="3">
        <v>9.27</v>
      </c>
      <c r="F3">
        <v>0</v>
      </c>
      <c r="G3">
        <v>-7</v>
      </c>
      <c r="H3" s="6">
        <v>0</v>
      </c>
    </row>
    <row r="4" spans="1:8" x14ac:dyDescent="0.2">
      <c r="A4" t="s">
        <v>459</v>
      </c>
      <c r="B4">
        <v>2002</v>
      </c>
      <c r="C4">
        <v>8</v>
      </c>
      <c r="D4" s="3">
        <v>22.3704</v>
      </c>
      <c r="E4" s="3">
        <v>3.71</v>
      </c>
      <c r="F4">
        <v>1</v>
      </c>
      <c r="G4">
        <v>-7</v>
      </c>
      <c r="H4" s="6">
        <v>16</v>
      </c>
    </row>
    <row r="5" spans="1:8" x14ac:dyDescent="0.2">
      <c r="A5" s="2" t="s">
        <v>17</v>
      </c>
      <c r="B5" s="2">
        <v>2017</v>
      </c>
      <c r="C5" s="2">
        <v>8</v>
      </c>
      <c r="D5" s="7">
        <v>22.29</v>
      </c>
      <c r="E5" s="2">
        <v>-0.93</v>
      </c>
      <c r="F5" s="2">
        <v>2</v>
      </c>
      <c r="G5" s="2">
        <v>12</v>
      </c>
      <c r="H5" s="5">
        <f>13/2</f>
        <v>6.5</v>
      </c>
    </row>
    <row r="6" spans="1:8" x14ac:dyDescent="0.2">
      <c r="A6" t="s">
        <v>45</v>
      </c>
      <c r="B6">
        <v>2010</v>
      </c>
      <c r="C6">
        <v>8</v>
      </c>
      <c r="D6" s="3">
        <v>21.654699999999998</v>
      </c>
      <c r="E6" s="3">
        <v>10.199999999999999</v>
      </c>
      <c r="F6">
        <v>1</v>
      </c>
      <c r="G6">
        <v>0</v>
      </c>
      <c r="H6" s="6">
        <v>15</v>
      </c>
    </row>
    <row r="7" spans="1:8" x14ac:dyDescent="0.2">
      <c r="A7" t="s">
        <v>83</v>
      </c>
      <c r="B7">
        <v>2009</v>
      </c>
      <c r="C7">
        <v>8</v>
      </c>
      <c r="D7" s="3">
        <v>21.2378</v>
      </c>
      <c r="E7" s="3">
        <v>1.36</v>
      </c>
      <c r="F7">
        <v>0</v>
      </c>
      <c r="G7">
        <v>-13</v>
      </c>
      <c r="H7" s="6">
        <v>0</v>
      </c>
    </row>
    <row r="8" spans="1:8" x14ac:dyDescent="0.2">
      <c r="A8" s="2" t="s">
        <v>66</v>
      </c>
      <c r="B8" s="2">
        <v>2014</v>
      </c>
      <c r="C8" s="2">
        <v>8</v>
      </c>
      <c r="D8" s="7">
        <v>20.958500000000001</v>
      </c>
      <c r="E8" s="7">
        <v>7.72</v>
      </c>
      <c r="F8" s="2">
        <v>5</v>
      </c>
      <c r="G8" s="2">
        <v>12</v>
      </c>
      <c r="H8" s="6">
        <f>18/5</f>
        <v>3.6</v>
      </c>
    </row>
    <row r="9" spans="1:8" x14ac:dyDescent="0.2">
      <c r="A9" s="2" t="s">
        <v>3</v>
      </c>
      <c r="B9" s="2">
        <v>2014</v>
      </c>
      <c r="C9" s="2">
        <v>8</v>
      </c>
      <c r="D9" s="7">
        <v>20.6252</v>
      </c>
      <c r="E9" s="7">
        <v>4.3</v>
      </c>
      <c r="F9" s="2">
        <v>1</v>
      </c>
      <c r="G9" s="2">
        <v>-15</v>
      </c>
      <c r="H9" s="5">
        <v>8</v>
      </c>
    </row>
    <row r="10" spans="1:8" x14ac:dyDescent="0.2">
      <c r="A10" t="s">
        <v>66</v>
      </c>
      <c r="B10">
        <v>2007</v>
      </c>
      <c r="C10">
        <v>8</v>
      </c>
      <c r="D10" s="3">
        <v>20.5228</v>
      </c>
      <c r="E10" s="3">
        <v>11.2</v>
      </c>
      <c r="F10">
        <v>1</v>
      </c>
      <c r="G10">
        <v>-3</v>
      </c>
      <c r="H10" s="6">
        <v>9</v>
      </c>
    </row>
    <row r="11" spans="1:8" x14ac:dyDescent="0.2">
      <c r="A11" t="s">
        <v>78</v>
      </c>
      <c r="B11">
        <v>2010</v>
      </c>
      <c r="C11">
        <v>8</v>
      </c>
      <c r="D11" s="3">
        <v>20.310600000000001</v>
      </c>
      <c r="E11" s="3">
        <v>0.86</v>
      </c>
      <c r="F11">
        <v>0</v>
      </c>
      <c r="G11">
        <v>-1</v>
      </c>
      <c r="H11" s="6">
        <v>0</v>
      </c>
    </row>
    <row r="12" spans="1:8" x14ac:dyDescent="0.2">
      <c r="A12" s="2" t="s">
        <v>30</v>
      </c>
      <c r="B12">
        <v>2013</v>
      </c>
      <c r="C12" s="2">
        <v>8</v>
      </c>
      <c r="D12" s="7">
        <v>20.148</v>
      </c>
      <c r="E12" s="3">
        <v>1.2</v>
      </c>
      <c r="F12">
        <v>1</v>
      </c>
      <c r="G12">
        <v>-14</v>
      </c>
      <c r="H12" s="6">
        <v>12</v>
      </c>
    </row>
    <row r="13" spans="1:8" x14ac:dyDescent="0.2">
      <c r="A13" t="s">
        <v>383</v>
      </c>
      <c r="B13">
        <v>2003</v>
      </c>
      <c r="C13">
        <v>8</v>
      </c>
      <c r="D13" s="3">
        <v>19.655200000000001</v>
      </c>
      <c r="E13" s="3">
        <v>-3.81</v>
      </c>
      <c r="F13">
        <v>0</v>
      </c>
      <c r="G13">
        <v>-24</v>
      </c>
      <c r="H13" s="6">
        <v>0</v>
      </c>
    </row>
    <row r="14" spans="1:8" x14ac:dyDescent="0.2">
      <c r="A14" t="s">
        <v>2</v>
      </c>
      <c r="B14">
        <v>2008</v>
      </c>
      <c r="C14">
        <v>8</v>
      </c>
      <c r="D14" s="3">
        <v>18.992000000000001</v>
      </c>
      <c r="E14" s="3">
        <v>1.72</v>
      </c>
      <c r="F14">
        <v>0</v>
      </c>
      <c r="G14">
        <v>-14</v>
      </c>
      <c r="H14" s="6">
        <v>0</v>
      </c>
    </row>
    <row r="15" spans="1:8" x14ac:dyDescent="0.2">
      <c r="A15" t="s">
        <v>21</v>
      </c>
      <c r="B15">
        <v>2007</v>
      </c>
      <c r="C15">
        <v>8</v>
      </c>
      <c r="D15" s="3">
        <v>18.765899999999998</v>
      </c>
      <c r="E15" s="3">
        <v>12.27</v>
      </c>
      <c r="F15">
        <v>0</v>
      </c>
      <c r="G15">
        <v>-9</v>
      </c>
      <c r="H15" s="6">
        <v>0</v>
      </c>
    </row>
    <row r="16" spans="1:8" x14ac:dyDescent="0.2">
      <c r="A16" t="s">
        <v>20</v>
      </c>
      <c r="B16">
        <v>2011</v>
      </c>
      <c r="C16">
        <v>8</v>
      </c>
      <c r="D16" s="3">
        <v>18.412400000000002</v>
      </c>
      <c r="E16" s="3">
        <v>3.12</v>
      </c>
      <c r="F16">
        <v>0</v>
      </c>
      <c r="G16">
        <v>-11</v>
      </c>
      <c r="H16" s="6">
        <v>0</v>
      </c>
    </row>
    <row r="17" spans="1:8" x14ac:dyDescent="0.2">
      <c r="A17" t="s">
        <v>16</v>
      </c>
      <c r="B17">
        <v>2012</v>
      </c>
      <c r="C17">
        <v>8</v>
      </c>
      <c r="D17" s="3">
        <v>18.2638</v>
      </c>
      <c r="E17" s="3">
        <v>-0.42</v>
      </c>
      <c r="F17">
        <v>1</v>
      </c>
      <c r="G17">
        <v>-10</v>
      </c>
      <c r="H17" s="6">
        <v>6</v>
      </c>
    </row>
    <row r="18" spans="1:8" x14ac:dyDescent="0.2">
      <c r="A18" t="s">
        <v>223</v>
      </c>
      <c r="B18">
        <v>2011</v>
      </c>
      <c r="C18">
        <v>8</v>
      </c>
      <c r="D18" s="3">
        <v>18.013300000000001</v>
      </c>
      <c r="E18" s="3">
        <v>1.06</v>
      </c>
      <c r="F18">
        <v>1</v>
      </c>
      <c r="G18">
        <v>-28</v>
      </c>
      <c r="H18" s="6">
        <v>4</v>
      </c>
    </row>
    <row r="19" spans="1:8" x14ac:dyDescent="0.2">
      <c r="A19" t="s">
        <v>462</v>
      </c>
      <c r="B19">
        <v>2006</v>
      </c>
      <c r="C19">
        <v>8</v>
      </c>
      <c r="D19" s="3">
        <v>17.7059</v>
      </c>
      <c r="E19" s="3">
        <v>-0.79</v>
      </c>
      <c r="F19">
        <v>0</v>
      </c>
      <c r="G19">
        <v>-4</v>
      </c>
      <c r="H19" s="6">
        <v>0</v>
      </c>
    </row>
    <row r="20" spans="1:8" x14ac:dyDescent="0.2">
      <c r="A20" t="s">
        <v>19</v>
      </c>
      <c r="B20">
        <v>2009</v>
      </c>
      <c r="C20">
        <v>8</v>
      </c>
      <c r="D20" s="3">
        <v>17.412199999999999</v>
      </c>
      <c r="E20" s="3">
        <v>2.3199999999999998</v>
      </c>
      <c r="F20">
        <v>1</v>
      </c>
      <c r="G20">
        <v>-6</v>
      </c>
      <c r="H20" s="6">
        <v>2</v>
      </c>
    </row>
    <row r="21" spans="1:8" x14ac:dyDescent="0.2">
      <c r="A21" t="s">
        <v>12</v>
      </c>
      <c r="B21">
        <v>2007</v>
      </c>
      <c r="C21">
        <v>8</v>
      </c>
      <c r="D21" s="3">
        <v>17.4011</v>
      </c>
      <c r="E21" s="3">
        <v>-0.13</v>
      </c>
      <c r="F21">
        <v>0</v>
      </c>
      <c r="G21">
        <v>-12</v>
      </c>
      <c r="H21" s="6">
        <v>0</v>
      </c>
    </row>
    <row r="22" spans="1:8" x14ac:dyDescent="0.2">
      <c r="A22" s="2" t="s">
        <v>31</v>
      </c>
      <c r="B22">
        <v>2013</v>
      </c>
      <c r="C22" s="2">
        <v>8</v>
      </c>
      <c r="D22" s="7">
        <v>17.358699999999999</v>
      </c>
      <c r="E22" s="3">
        <v>3.09</v>
      </c>
      <c r="F22">
        <v>0</v>
      </c>
      <c r="G22">
        <v>-4</v>
      </c>
      <c r="H22" s="6">
        <v>0</v>
      </c>
    </row>
    <row r="23" spans="1:8" x14ac:dyDescent="0.2">
      <c r="A23" s="2" t="s">
        <v>617</v>
      </c>
      <c r="B23" s="2">
        <v>2018</v>
      </c>
      <c r="C23" s="2">
        <v>8</v>
      </c>
      <c r="D23" s="7">
        <v>17.34</v>
      </c>
      <c r="E23" s="7">
        <v>0.42</v>
      </c>
      <c r="F23" s="2"/>
      <c r="G23" s="2"/>
      <c r="H23" s="10"/>
    </row>
    <row r="24" spans="1:8" x14ac:dyDescent="0.2">
      <c r="A24" t="s">
        <v>78</v>
      </c>
      <c r="B24">
        <v>2005</v>
      </c>
      <c r="C24">
        <v>8</v>
      </c>
      <c r="D24" s="3">
        <v>17.3017</v>
      </c>
      <c r="E24" s="3">
        <v>0.78</v>
      </c>
      <c r="F24">
        <v>0</v>
      </c>
      <c r="G24">
        <v>-4</v>
      </c>
      <c r="H24" s="6">
        <v>0</v>
      </c>
    </row>
    <row r="25" spans="1:8" x14ac:dyDescent="0.2">
      <c r="A25" s="2" t="s">
        <v>25</v>
      </c>
      <c r="B25" s="2">
        <v>2018</v>
      </c>
      <c r="C25" s="2">
        <v>8</v>
      </c>
      <c r="D25" s="7">
        <v>17.28</v>
      </c>
      <c r="E25" s="7">
        <v>-3.82</v>
      </c>
      <c r="F25" s="2">
        <v>0</v>
      </c>
      <c r="G25" s="2">
        <v>-10</v>
      </c>
      <c r="H25" s="6">
        <v>0</v>
      </c>
    </row>
    <row r="26" spans="1:8" x14ac:dyDescent="0.2">
      <c r="A26" t="s">
        <v>617</v>
      </c>
      <c r="B26">
        <v>2004</v>
      </c>
      <c r="C26">
        <v>8</v>
      </c>
      <c r="D26" s="3">
        <v>17.2286</v>
      </c>
      <c r="E26" s="3">
        <v>1.79</v>
      </c>
      <c r="F26">
        <v>1</v>
      </c>
      <c r="G26">
        <v>-24</v>
      </c>
      <c r="H26" s="6">
        <v>4</v>
      </c>
    </row>
    <row r="27" spans="1:8" x14ac:dyDescent="0.2">
      <c r="A27" s="2" t="s">
        <v>29</v>
      </c>
      <c r="B27">
        <v>2013</v>
      </c>
      <c r="C27" s="2">
        <v>8</v>
      </c>
      <c r="D27" s="7">
        <v>17.146899999999999</v>
      </c>
      <c r="E27" s="3">
        <v>1.1399999999999999</v>
      </c>
      <c r="F27">
        <v>1</v>
      </c>
      <c r="G27">
        <v>-5</v>
      </c>
      <c r="H27" s="6">
        <v>7</v>
      </c>
    </row>
    <row r="28" spans="1:8" x14ac:dyDescent="0.2">
      <c r="A28" t="s">
        <v>26</v>
      </c>
      <c r="B28">
        <v>2002</v>
      </c>
      <c r="C28">
        <v>8</v>
      </c>
      <c r="D28" s="3">
        <v>17.101800000000001</v>
      </c>
      <c r="E28" s="3">
        <v>-1.69</v>
      </c>
      <c r="F28">
        <v>1</v>
      </c>
      <c r="G28">
        <v>12</v>
      </c>
      <c r="H28" s="6">
        <v>19</v>
      </c>
    </row>
    <row r="29" spans="1:8" x14ac:dyDescent="0.2">
      <c r="A29" t="s">
        <v>25</v>
      </c>
      <c r="B29">
        <v>2012</v>
      </c>
      <c r="C29">
        <v>8</v>
      </c>
      <c r="D29" s="3">
        <v>17.063400000000001</v>
      </c>
      <c r="E29" s="3">
        <v>0.59</v>
      </c>
      <c r="F29">
        <v>1</v>
      </c>
      <c r="G29">
        <v>-13</v>
      </c>
      <c r="H29" s="6">
        <v>1</v>
      </c>
    </row>
    <row r="30" spans="1:8" x14ac:dyDescent="0.2">
      <c r="A30" s="2" t="s">
        <v>8</v>
      </c>
      <c r="B30" s="2">
        <v>2017</v>
      </c>
      <c r="C30" s="2">
        <v>8</v>
      </c>
      <c r="D30" s="7">
        <v>16.96</v>
      </c>
      <c r="E30" s="2">
        <v>-4.0599999999999996</v>
      </c>
      <c r="F30" s="2">
        <v>0</v>
      </c>
      <c r="G30" s="2">
        <v>-20</v>
      </c>
      <c r="H30" s="5">
        <v>0</v>
      </c>
    </row>
    <row r="31" spans="1:8" x14ac:dyDescent="0.2">
      <c r="A31" t="s">
        <v>20</v>
      </c>
      <c r="B31">
        <v>2010</v>
      </c>
      <c r="C31">
        <v>8</v>
      </c>
      <c r="D31" s="3">
        <v>16.697800000000001</v>
      </c>
      <c r="E31" s="3">
        <v>1.85</v>
      </c>
      <c r="F31">
        <v>0</v>
      </c>
      <c r="G31">
        <v>-3</v>
      </c>
      <c r="H31" s="6">
        <v>0</v>
      </c>
    </row>
    <row r="32" spans="1:8" x14ac:dyDescent="0.2">
      <c r="A32" s="2" t="s">
        <v>537</v>
      </c>
      <c r="B32" s="2">
        <v>2018</v>
      </c>
      <c r="C32" s="2">
        <v>8</v>
      </c>
      <c r="D32" s="7">
        <v>16.64</v>
      </c>
      <c r="E32" s="7">
        <v>-9.57</v>
      </c>
      <c r="F32" s="2">
        <v>0</v>
      </c>
      <c r="G32" s="2">
        <v>-3</v>
      </c>
      <c r="H32" s="6">
        <v>0</v>
      </c>
    </row>
    <row r="33" spans="1:8" x14ac:dyDescent="0.2">
      <c r="A33" t="s">
        <v>3</v>
      </c>
      <c r="B33">
        <v>2010</v>
      </c>
      <c r="C33">
        <v>8</v>
      </c>
      <c r="D33" s="3">
        <v>16.396899999999999</v>
      </c>
      <c r="E33" s="3">
        <v>6.08</v>
      </c>
      <c r="F33">
        <v>1</v>
      </c>
      <c r="G33">
        <v>-15</v>
      </c>
      <c r="H33" s="6">
        <v>7</v>
      </c>
    </row>
    <row r="34" spans="1:8" x14ac:dyDescent="0.2">
      <c r="A34" t="s">
        <v>36</v>
      </c>
      <c r="B34">
        <v>2012</v>
      </c>
      <c r="C34">
        <v>8</v>
      </c>
      <c r="D34" s="3">
        <v>16.384899999999998</v>
      </c>
      <c r="E34" s="3">
        <v>-0.83</v>
      </c>
      <c r="F34">
        <v>1</v>
      </c>
      <c r="G34">
        <v>-3</v>
      </c>
      <c r="H34" s="6">
        <v>13</v>
      </c>
    </row>
    <row r="35" spans="1:8" x14ac:dyDescent="0.2">
      <c r="A35" s="2" t="s">
        <v>143</v>
      </c>
      <c r="B35" s="2">
        <v>2015</v>
      </c>
      <c r="C35" s="2">
        <v>8</v>
      </c>
      <c r="D35" s="7">
        <v>16.1998</v>
      </c>
      <c r="E35" s="7">
        <v>5.92</v>
      </c>
      <c r="F35" s="2">
        <v>1</v>
      </c>
      <c r="G35" s="2">
        <v>-7</v>
      </c>
      <c r="H35" s="5">
        <v>12</v>
      </c>
    </row>
    <row r="36" spans="1:8" x14ac:dyDescent="0.2">
      <c r="A36" t="s">
        <v>5</v>
      </c>
      <c r="B36">
        <v>2009</v>
      </c>
      <c r="C36">
        <v>8</v>
      </c>
      <c r="D36" s="3">
        <v>16.097100000000001</v>
      </c>
      <c r="E36" s="3">
        <v>1.37</v>
      </c>
      <c r="F36">
        <v>0</v>
      </c>
      <c r="G36">
        <v>-2</v>
      </c>
      <c r="H36" s="6">
        <v>0</v>
      </c>
    </row>
    <row r="37" spans="1:8" x14ac:dyDescent="0.2">
      <c r="A37" t="s">
        <v>72</v>
      </c>
      <c r="B37">
        <v>2004</v>
      </c>
      <c r="C37">
        <v>8</v>
      </c>
      <c r="D37" s="3">
        <v>15.970499999999999</v>
      </c>
      <c r="E37" s="3">
        <v>9.19</v>
      </c>
      <c r="F37">
        <v>3</v>
      </c>
      <c r="G37">
        <v>-3</v>
      </c>
      <c r="H37" s="6">
        <f>(13/3)</f>
        <v>4.333333333333333</v>
      </c>
    </row>
    <row r="38" spans="1:8" x14ac:dyDescent="0.2">
      <c r="A38" t="s">
        <v>24</v>
      </c>
      <c r="B38">
        <v>2002</v>
      </c>
      <c r="C38">
        <v>8</v>
      </c>
      <c r="D38" s="3">
        <v>15.7225</v>
      </c>
      <c r="E38" s="3">
        <v>10.46</v>
      </c>
      <c r="F38">
        <v>2</v>
      </c>
      <c r="G38">
        <v>17</v>
      </c>
      <c r="H38" s="6">
        <f>26 / 2</f>
        <v>13</v>
      </c>
    </row>
    <row r="39" spans="1:8" x14ac:dyDescent="0.2">
      <c r="A39" t="s">
        <v>83</v>
      </c>
      <c r="B39">
        <v>2008</v>
      </c>
      <c r="C39">
        <v>8</v>
      </c>
      <c r="D39" s="3">
        <v>15.6747</v>
      </c>
      <c r="E39" s="3">
        <v>-2.5099999999999998</v>
      </c>
      <c r="F39">
        <v>0</v>
      </c>
      <c r="G39">
        <v>-5</v>
      </c>
      <c r="H39" s="6">
        <v>0</v>
      </c>
    </row>
    <row r="40" spans="1:8" x14ac:dyDescent="0.2">
      <c r="A40" t="s">
        <v>539</v>
      </c>
      <c r="B40">
        <v>2004</v>
      </c>
      <c r="C40">
        <v>8</v>
      </c>
      <c r="D40" s="3">
        <v>15.6327</v>
      </c>
      <c r="E40" s="3">
        <v>4.2699999999999996</v>
      </c>
      <c r="F40">
        <v>1</v>
      </c>
      <c r="G40">
        <v>-2</v>
      </c>
      <c r="H40" s="6">
        <v>3</v>
      </c>
    </row>
    <row r="41" spans="1:8" x14ac:dyDescent="0.2">
      <c r="A41" s="2" t="s">
        <v>462</v>
      </c>
      <c r="B41" s="2">
        <v>2017</v>
      </c>
      <c r="C41" s="2">
        <v>8</v>
      </c>
      <c r="D41" s="7">
        <v>15.6</v>
      </c>
      <c r="E41" s="2">
        <v>-1.19</v>
      </c>
      <c r="F41" s="2">
        <v>1</v>
      </c>
      <c r="G41" s="2">
        <v>-1</v>
      </c>
      <c r="H41" s="5">
        <f>6/1</f>
        <v>6</v>
      </c>
    </row>
    <row r="42" spans="1:8" x14ac:dyDescent="0.2">
      <c r="A42" t="s">
        <v>66</v>
      </c>
      <c r="B42">
        <v>2006</v>
      </c>
      <c r="C42">
        <v>8</v>
      </c>
      <c r="D42" s="3">
        <v>15.519299999999999</v>
      </c>
      <c r="E42" s="3">
        <v>5.35</v>
      </c>
      <c r="F42">
        <v>1</v>
      </c>
      <c r="G42">
        <v>1</v>
      </c>
      <c r="H42" s="6">
        <v>5</v>
      </c>
    </row>
    <row r="43" spans="1:8" x14ac:dyDescent="0.2">
      <c r="A43" s="2" t="s">
        <v>1182</v>
      </c>
      <c r="B43" s="2">
        <v>2017</v>
      </c>
      <c r="C43" s="2">
        <v>8</v>
      </c>
      <c r="D43" s="7">
        <v>15.51</v>
      </c>
      <c r="E43" s="2">
        <v>-2.82</v>
      </c>
      <c r="F43" s="2">
        <v>1</v>
      </c>
      <c r="G43" s="2">
        <v>-4</v>
      </c>
      <c r="H43" s="5">
        <f>2/1</f>
        <v>2</v>
      </c>
    </row>
    <row r="44" spans="1:8" x14ac:dyDescent="0.2">
      <c r="A44" t="s">
        <v>83</v>
      </c>
      <c r="B44">
        <v>2007</v>
      </c>
      <c r="C44">
        <v>8</v>
      </c>
      <c r="D44" s="3">
        <v>15.4938</v>
      </c>
      <c r="E44" s="3">
        <v>1.58</v>
      </c>
      <c r="F44">
        <v>0</v>
      </c>
      <c r="G44">
        <v>-2</v>
      </c>
      <c r="H44" s="6">
        <v>0</v>
      </c>
    </row>
    <row r="45" spans="1:8" x14ac:dyDescent="0.2">
      <c r="A45" s="2" t="s">
        <v>33</v>
      </c>
      <c r="B45" s="2">
        <v>2018</v>
      </c>
      <c r="C45" s="2">
        <v>8</v>
      </c>
      <c r="D45" s="7">
        <v>15.47</v>
      </c>
      <c r="E45" s="7">
        <v>1.3</v>
      </c>
      <c r="F45" s="2">
        <v>0</v>
      </c>
      <c r="G45" s="2">
        <v>-13</v>
      </c>
      <c r="H45" s="6">
        <v>0</v>
      </c>
    </row>
    <row r="46" spans="1:8" x14ac:dyDescent="0.2">
      <c r="A46" t="s">
        <v>21</v>
      </c>
      <c r="B46">
        <v>2006</v>
      </c>
      <c r="C46">
        <v>8</v>
      </c>
      <c r="D46" s="3">
        <v>15.394</v>
      </c>
      <c r="E46" s="3">
        <v>9.99</v>
      </c>
      <c r="F46">
        <v>1</v>
      </c>
      <c r="G46">
        <v>15</v>
      </c>
      <c r="H46" s="6">
        <v>19</v>
      </c>
    </row>
    <row r="47" spans="1:8" x14ac:dyDescent="0.2">
      <c r="A47" s="2" t="s">
        <v>31</v>
      </c>
      <c r="B47" s="2">
        <v>2015</v>
      </c>
      <c r="C47" s="2">
        <v>8</v>
      </c>
      <c r="D47" s="7">
        <v>15.3605</v>
      </c>
      <c r="E47" s="7">
        <v>4.17</v>
      </c>
      <c r="F47" s="2">
        <v>2</v>
      </c>
      <c r="G47" s="2">
        <v>-6</v>
      </c>
      <c r="H47" s="6">
        <f>4/2</f>
        <v>2</v>
      </c>
    </row>
    <row r="48" spans="1:8" x14ac:dyDescent="0.2">
      <c r="A48" t="s">
        <v>387</v>
      </c>
      <c r="B48">
        <v>2008</v>
      </c>
      <c r="C48">
        <v>8</v>
      </c>
      <c r="D48" s="3">
        <v>15.328200000000001</v>
      </c>
      <c r="E48" s="3">
        <v>0.38</v>
      </c>
      <c r="F48">
        <v>1</v>
      </c>
      <c r="G48">
        <v>4</v>
      </c>
      <c r="H48" s="6">
        <v>7</v>
      </c>
    </row>
    <row r="49" spans="1:8" x14ac:dyDescent="0.2">
      <c r="A49" t="s">
        <v>13</v>
      </c>
      <c r="B49">
        <v>2011</v>
      </c>
      <c r="C49">
        <v>8</v>
      </c>
      <c r="D49" s="3">
        <v>15.085800000000001</v>
      </c>
      <c r="E49" s="3">
        <v>2.97</v>
      </c>
      <c r="F49">
        <v>1</v>
      </c>
      <c r="G49">
        <v>28</v>
      </c>
      <c r="H49" s="6">
        <v>30</v>
      </c>
    </row>
    <row r="50" spans="1:8" x14ac:dyDescent="0.2">
      <c r="A50" t="s">
        <v>37</v>
      </c>
      <c r="B50">
        <v>2003</v>
      </c>
      <c r="C50">
        <v>8</v>
      </c>
      <c r="D50" s="3">
        <v>15.0715</v>
      </c>
      <c r="E50" s="3">
        <v>6.41</v>
      </c>
      <c r="F50">
        <v>0</v>
      </c>
      <c r="G50">
        <v>-5</v>
      </c>
      <c r="H50" s="6">
        <v>0</v>
      </c>
    </row>
    <row r="51" spans="1:8" x14ac:dyDescent="0.2">
      <c r="A51" s="2" t="s">
        <v>22</v>
      </c>
      <c r="B51" s="2">
        <v>2014</v>
      </c>
      <c r="C51" s="2">
        <v>8</v>
      </c>
      <c r="D51" s="7">
        <v>14.9064</v>
      </c>
      <c r="E51" s="7">
        <v>3.02</v>
      </c>
      <c r="F51" s="2">
        <v>1</v>
      </c>
      <c r="G51" s="2">
        <v>-13</v>
      </c>
      <c r="H51" s="5">
        <v>5</v>
      </c>
    </row>
    <row r="52" spans="1:8" x14ac:dyDescent="0.2">
      <c r="A52" s="2" t="s">
        <v>384</v>
      </c>
      <c r="B52" s="2">
        <v>2016</v>
      </c>
      <c r="C52" s="2">
        <v>8</v>
      </c>
      <c r="D52" s="7">
        <v>14.7721</v>
      </c>
      <c r="E52" s="7">
        <v>1.77</v>
      </c>
      <c r="F52" s="2">
        <v>0</v>
      </c>
      <c r="G52" s="2">
        <v>-1</v>
      </c>
      <c r="H52" s="5">
        <v>0</v>
      </c>
    </row>
    <row r="53" spans="1:8" x14ac:dyDescent="0.2">
      <c r="A53" t="s">
        <v>40</v>
      </c>
      <c r="B53">
        <v>2005</v>
      </c>
      <c r="C53">
        <v>8</v>
      </c>
      <c r="D53" s="3">
        <v>14.7478</v>
      </c>
      <c r="E53" s="3">
        <v>-0.13</v>
      </c>
      <c r="F53">
        <v>0</v>
      </c>
      <c r="G53">
        <v>-11</v>
      </c>
      <c r="H53" s="6">
        <v>0</v>
      </c>
    </row>
    <row r="54" spans="1:8" x14ac:dyDescent="0.2">
      <c r="A54" s="2" t="s">
        <v>539</v>
      </c>
      <c r="B54" s="2">
        <v>2016</v>
      </c>
      <c r="C54" s="2">
        <v>8</v>
      </c>
      <c r="D54" s="7">
        <v>14.6937</v>
      </c>
      <c r="E54" s="7">
        <v>4.03</v>
      </c>
      <c r="F54" s="2">
        <v>0</v>
      </c>
      <c r="G54" s="2">
        <v>-10</v>
      </c>
      <c r="H54" s="5">
        <v>0</v>
      </c>
    </row>
    <row r="55" spans="1:8" x14ac:dyDescent="0.2">
      <c r="A55" t="s">
        <v>540</v>
      </c>
      <c r="B55">
        <v>2006</v>
      </c>
      <c r="C55">
        <v>8</v>
      </c>
      <c r="D55" s="3">
        <v>14.586399999999999</v>
      </c>
      <c r="E55" s="3">
        <v>-11.66</v>
      </c>
      <c r="F55">
        <v>1</v>
      </c>
      <c r="G55">
        <v>-10</v>
      </c>
      <c r="H55" s="6">
        <v>3</v>
      </c>
    </row>
    <row r="56" spans="1:8" x14ac:dyDescent="0.2">
      <c r="A56" t="s">
        <v>23</v>
      </c>
      <c r="B56">
        <v>2011</v>
      </c>
      <c r="C56">
        <v>8</v>
      </c>
      <c r="D56" s="3">
        <v>14.5471</v>
      </c>
      <c r="E56" s="3">
        <v>6.97</v>
      </c>
      <c r="F56">
        <v>5</v>
      </c>
      <c r="G56">
        <v>9</v>
      </c>
      <c r="H56" s="6">
        <f>(21/5)</f>
        <v>4.2</v>
      </c>
    </row>
    <row r="57" spans="1:8" x14ac:dyDescent="0.2">
      <c r="A57" t="s">
        <v>383</v>
      </c>
      <c r="B57">
        <v>2009</v>
      </c>
      <c r="C57">
        <v>8</v>
      </c>
      <c r="D57" s="3">
        <v>14.409599999999999</v>
      </c>
      <c r="E57" s="3">
        <v>-3.59</v>
      </c>
      <c r="F57">
        <v>1</v>
      </c>
      <c r="G57">
        <v>-10</v>
      </c>
      <c r="H57" s="6">
        <v>4</v>
      </c>
    </row>
    <row r="58" spans="1:8" x14ac:dyDescent="0.2">
      <c r="A58" s="2" t="s">
        <v>37</v>
      </c>
      <c r="B58" s="2">
        <v>2015</v>
      </c>
      <c r="C58" s="2">
        <v>8</v>
      </c>
      <c r="D58" s="7">
        <v>14.243</v>
      </c>
      <c r="E58" s="7">
        <v>5.12</v>
      </c>
      <c r="F58" s="2">
        <v>1</v>
      </c>
      <c r="G58" s="2">
        <v>-12</v>
      </c>
      <c r="H58" s="5">
        <v>1</v>
      </c>
    </row>
    <row r="59" spans="1:8" x14ac:dyDescent="0.2">
      <c r="A59" t="s">
        <v>44</v>
      </c>
      <c r="B59">
        <v>2003</v>
      </c>
      <c r="C59">
        <v>8</v>
      </c>
      <c r="D59" s="3">
        <v>14.0055</v>
      </c>
      <c r="E59" s="3">
        <v>-1.91</v>
      </c>
      <c r="F59">
        <v>0</v>
      </c>
      <c r="G59">
        <v>-2</v>
      </c>
      <c r="H59" s="6">
        <v>0</v>
      </c>
    </row>
    <row r="60" spans="1:8" x14ac:dyDescent="0.2">
      <c r="A60" t="s">
        <v>57</v>
      </c>
      <c r="B60">
        <v>2005</v>
      </c>
      <c r="C60">
        <v>8</v>
      </c>
      <c r="D60" s="3">
        <v>13.922499999999999</v>
      </c>
      <c r="E60" s="3">
        <v>1.51</v>
      </c>
      <c r="F60">
        <v>1</v>
      </c>
      <c r="G60">
        <v>-10</v>
      </c>
      <c r="H60" s="6">
        <v>8</v>
      </c>
    </row>
    <row r="61" spans="1:8" x14ac:dyDescent="0.2">
      <c r="A61" s="2" t="s">
        <v>465</v>
      </c>
      <c r="B61" s="2">
        <v>2016</v>
      </c>
      <c r="C61" s="2">
        <v>8</v>
      </c>
      <c r="D61" s="7">
        <v>13.882999999999999</v>
      </c>
      <c r="E61" s="7">
        <v>3.6</v>
      </c>
      <c r="F61" s="2">
        <v>1</v>
      </c>
      <c r="G61" s="2">
        <v>-3</v>
      </c>
      <c r="H61" s="5">
        <v>2</v>
      </c>
    </row>
    <row r="62" spans="1:8" x14ac:dyDescent="0.2">
      <c r="A62" s="2" t="s">
        <v>39</v>
      </c>
      <c r="B62" s="2">
        <v>2016</v>
      </c>
      <c r="C62" s="2">
        <v>8</v>
      </c>
      <c r="D62" s="7">
        <v>13.5764</v>
      </c>
      <c r="E62" s="7">
        <v>-0.17</v>
      </c>
      <c r="F62" s="2">
        <v>0</v>
      </c>
      <c r="G62" s="2">
        <v>-7</v>
      </c>
      <c r="H62" s="5">
        <v>0</v>
      </c>
    </row>
    <row r="63" spans="1:8" x14ac:dyDescent="0.2">
      <c r="A63" t="s">
        <v>45</v>
      </c>
      <c r="B63">
        <v>2003</v>
      </c>
      <c r="C63">
        <v>8</v>
      </c>
      <c r="D63" s="3">
        <v>13.412800000000001</v>
      </c>
      <c r="E63" s="3">
        <v>2.38</v>
      </c>
      <c r="F63">
        <v>1</v>
      </c>
      <c r="G63">
        <v>-7</v>
      </c>
      <c r="H63" s="6">
        <v>2</v>
      </c>
    </row>
    <row r="64" spans="1:8" x14ac:dyDescent="0.2">
      <c r="A64" t="s">
        <v>17</v>
      </c>
      <c r="B64">
        <v>2002</v>
      </c>
      <c r="C64">
        <v>8</v>
      </c>
      <c r="D64" s="3">
        <v>13.3461</v>
      </c>
      <c r="E64" s="3">
        <v>8.01</v>
      </c>
      <c r="F64">
        <v>1</v>
      </c>
      <c r="G64">
        <v>-20</v>
      </c>
      <c r="H64" s="6">
        <v>10</v>
      </c>
    </row>
    <row r="65" spans="1:8" x14ac:dyDescent="0.2">
      <c r="A65" t="s">
        <v>20</v>
      </c>
      <c r="B65">
        <v>2008</v>
      </c>
      <c r="C65">
        <v>8</v>
      </c>
      <c r="D65" s="3">
        <v>13.33</v>
      </c>
      <c r="E65" s="3">
        <v>1.8</v>
      </c>
      <c r="F65">
        <v>1</v>
      </c>
      <c r="G65">
        <v>-6</v>
      </c>
      <c r="H65" s="6">
        <v>13</v>
      </c>
    </row>
    <row r="66" spans="1:8" x14ac:dyDescent="0.2">
      <c r="A66" s="2" t="s">
        <v>44</v>
      </c>
      <c r="B66" s="2">
        <v>2015</v>
      </c>
      <c r="C66" s="2">
        <v>8</v>
      </c>
      <c r="D66" s="7">
        <v>13.2179</v>
      </c>
      <c r="E66" s="7">
        <v>1.77</v>
      </c>
      <c r="F66" s="2">
        <v>1</v>
      </c>
      <c r="G66" s="2">
        <v>-1</v>
      </c>
      <c r="H66" s="5">
        <v>6</v>
      </c>
    </row>
    <row r="67" spans="1:8" x14ac:dyDescent="0.2">
      <c r="A67" s="2" t="s">
        <v>39</v>
      </c>
      <c r="B67" s="2">
        <v>2014</v>
      </c>
      <c r="C67" s="2">
        <v>8</v>
      </c>
      <c r="D67" s="7">
        <v>12.500500000000001</v>
      </c>
      <c r="E67" s="7">
        <v>4.55</v>
      </c>
      <c r="F67" s="2">
        <v>0</v>
      </c>
      <c r="G67" s="2">
        <v>-29</v>
      </c>
      <c r="H67" s="5">
        <v>0</v>
      </c>
    </row>
    <row r="68" spans="1:8" x14ac:dyDescent="0.2">
      <c r="A68" t="s">
        <v>459</v>
      </c>
      <c r="B68">
        <v>2005</v>
      </c>
      <c r="C68">
        <v>8</v>
      </c>
      <c r="D68" s="3">
        <v>11.710599999999999</v>
      </c>
      <c r="E68" s="3">
        <v>3.87</v>
      </c>
      <c r="F68">
        <v>0</v>
      </c>
      <c r="G68">
        <v>-23</v>
      </c>
      <c r="H68" s="6">
        <v>0</v>
      </c>
    </row>
    <row r="69" spans="1:8" x14ac:dyDescent="0.2">
      <c r="A69" t="s">
        <v>221</v>
      </c>
      <c r="B69">
        <v>2004</v>
      </c>
      <c r="C69">
        <v>8</v>
      </c>
      <c r="D69" s="3">
        <v>10.852499999999999</v>
      </c>
      <c r="E69" s="3">
        <v>2.31</v>
      </c>
      <c r="F69">
        <v>0</v>
      </c>
      <c r="G69">
        <v>-2</v>
      </c>
      <c r="H69" s="6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69"/>
  <sheetViews>
    <sheetView topLeftCell="A19" workbookViewId="0">
      <selection activeCell="G36" sqref="G36"/>
    </sheetView>
  </sheetViews>
  <sheetFormatPr baseColWidth="10" defaultRowHeight="16" x14ac:dyDescent="0.2"/>
  <cols>
    <col min="1" max="1" width="17.33203125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1178</v>
      </c>
      <c r="E1" s="1" t="s">
        <v>1176</v>
      </c>
      <c r="F1" s="1" t="s">
        <v>65</v>
      </c>
      <c r="G1" s="1" t="s">
        <v>91</v>
      </c>
      <c r="H1" s="1" t="s">
        <v>92</v>
      </c>
    </row>
    <row r="2" spans="1:8" x14ac:dyDescent="0.2">
      <c r="A2" s="2" t="s">
        <v>28</v>
      </c>
      <c r="B2" s="2">
        <v>2014</v>
      </c>
      <c r="C2" s="2">
        <v>9</v>
      </c>
      <c r="D2" s="7">
        <v>21.4925</v>
      </c>
      <c r="E2" s="7">
        <v>0.77</v>
      </c>
      <c r="F2" s="2">
        <v>1</v>
      </c>
      <c r="G2" s="2">
        <v>13</v>
      </c>
      <c r="H2" s="5">
        <v>29</v>
      </c>
    </row>
    <row r="3" spans="1:8" x14ac:dyDescent="0.2">
      <c r="A3" s="2" t="s">
        <v>19</v>
      </c>
      <c r="B3" s="2">
        <v>2014</v>
      </c>
      <c r="C3" s="2">
        <v>9</v>
      </c>
      <c r="D3" s="7">
        <v>21.467099999999999</v>
      </c>
      <c r="E3" s="7">
        <v>1.29</v>
      </c>
      <c r="F3" s="2">
        <v>0</v>
      </c>
      <c r="G3" s="2">
        <v>-8</v>
      </c>
      <c r="H3" s="5">
        <v>0</v>
      </c>
    </row>
    <row r="4" spans="1:8" x14ac:dyDescent="0.2">
      <c r="A4" t="s">
        <v>15</v>
      </c>
      <c r="B4">
        <v>2012</v>
      </c>
      <c r="C4">
        <v>9</v>
      </c>
      <c r="D4" s="3">
        <v>20.622499999999999</v>
      </c>
      <c r="E4" s="3">
        <v>-0.56000000000000005</v>
      </c>
      <c r="F4">
        <v>1</v>
      </c>
      <c r="G4">
        <v>3</v>
      </c>
      <c r="H4" s="6">
        <v>7</v>
      </c>
    </row>
    <row r="5" spans="1:8" x14ac:dyDescent="0.2">
      <c r="A5" t="s">
        <v>10</v>
      </c>
      <c r="B5">
        <v>2007</v>
      </c>
      <c r="C5">
        <v>9</v>
      </c>
      <c r="D5" s="3">
        <v>20.331399999999999</v>
      </c>
      <c r="E5" s="3">
        <v>3.13</v>
      </c>
      <c r="F5">
        <v>1</v>
      </c>
      <c r="G5">
        <v>-2</v>
      </c>
      <c r="H5" s="6">
        <v>12</v>
      </c>
    </row>
    <row r="6" spans="1:8" x14ac:dyDescent="0.2">
      <c r="A6" t="s">
        <v>34</v>
      </c>
      <c r="B6">
        <v>2007</v>
      </c>
      <c r="C6">
        <v>9</v>
      </c>
      <c r="D6" s="3">
        <v>20.258199999999999</v>
      </c>
      <c r="E6" s="3">
        <v>3.63</v>
      </c>
      <c r="F6">
        <v>0</v>
      </c>
      <c r="G6">
        <v>-9</v>
      </c>
      <c r="H6" s="6">
        <v>0</v>
      </c>
    </row>
    <row r="7" spans="1:8" x14ac:dyDescent="0.2">
      <c r="A7" s="2" t="s">
        <v>33</v>
      </c>
      <c r="B7">
        <v>2013</v>
      </c>
      <c r="C7" s="2">
        <v>9</v>
      </c>
      <c r="D7" s="7">
        <v>19.2334</v>
      </c>
      <c r="E7" s="3">
        <v>1.38</v>
      </c>
      <c r="F7">
        <v>0</v>
      </c>
      <c r="G7">
        <v>-12</v>
      </c>
      <c r="H7" s="6">
        <v>0</v>
      </c>
    </row>
    <row r="8" spans="1:8" x14ac:dyDescent="0.2">
      <c r="A8" t="s">
        <v>222</v>
      </c>
      <c r="B8">
        <v>2008</v>
      </c>
      <c r="C8">
        <v>9</v>
      </c>
      <c r="D8" s="3">
        <v>19.2193</v>
      </c>
      <c r="E8" s="3">
        <v>-0.26</v>
      </c>
      <c r="F8">
        <v>1</v>
      </c>
      <c r="G8">
        <v>3</v>
      </c>
      <c r="H8" s="6">
        <v>5</v>
      </c>
    </row>
    <row r="9" spans="1:8" x14ac:dyDescent="0.2">
      <c r="A9" t="s">
        <v>27</v>
      </c>
      <c r="B9">
        <v>2011</v>
      </c>
      <c r="C9">
        <v>9</v>
      </c>
      <c r="D9" s="3">
        <v>19.140499999999999</v>
      </c>
      <c r="E9" s="3">
        <v>5.27</v>
      </c>
      <c r="F9">
        <v>1</v>
      </c>
      <c r="G9">
        <v>-3</v>
      </c>
      <c r="H9" s="6">
        <v>11</v>
      </c>
    </row>
    <row r="10" spans="1:8" x14ac:dyDescent="0.2">
      <c r="A10" t="s">
        <v>47</v>
      </c>
      <c r="B10">
        <v>2002</v>
      </c>
      <c r="C10">
        <v>9</v>
      </c>
      <c r="D10" s="3">
        <v>18.427</v>
      </c>
      <c r="E10" s="3">
        <v>-4.66</v>
      </c>
      <c r="F10">
        <v>0</v>
      </c>
      <c r="G10">
        <v>-22</v>
      </c>
      <c r="H10" s="6">
        <v>0</v>
      </c>
    </row>
    <row r="11" spans="1:8" x14ac:dyDescent="0.2">
      <c r="A11" t="s">
        <v>28</v>
      </c>
      <c r="B11">
        <v>2005</v>
      </c>
      <c r="C11">
        <v>9</v>
      </c>
      <c r="D11" s="3">
        <v>18.411799999999999</v>
      </c>
      <c r="E11" s="3">
        <v>-5.66</v>
      </c>
      <c r="F11">
        <v>0</v>
      </c>
      <c r="G11">
        <v>-8</v>
      </c>
      <c r="H11" s="6">
        <v>0</v>
      </c>
    </row>
    <row r="12" spans="1:8" x14ac:dyDescent="0.2">
      <c r="A12" s="2" t="s">
        <v>90</v>
      </c>
      <c r="B12" s="2">
        <v>2016</v>
      </c>
      <c r="C12" s="2">
        <v>9</v>
      </c>
      <c r="D12" s="7">
        <v>18.308299999999999</v>
      </c>
      <c r="E12" s="7">
        <v>2.39</v>
      </c>
      <c r="F12" s="2">
        <v>1</v>
      </c>
      <c r="G12" s="2">
        <v>-5</v>
      </c>
      <c r="H12" s="5">
        <v>7</v>
      </c>
    </row>
    <row r="13" spans="1:8" x14ac:dyDescent="0.2">
      <c r="A13" t="s">
        <v>69</v>
      </c>
      <c r="B13">
        <v>2010</v>
      </c>
      <c r="C13">
        <v>9</v>
      </c>
      <c r="D13" s="3">
        <v>18.228200000000001</v>
      </c>
      <c r="E13" s="3">
        <v>-0.5</v>
      </c>
      <c r="F13">
        <v>0</v>
      </c>
      <c r="G13">
        <v>-7</v>
      </c>
      <c r="H13" s="6">
        <v>0</v>
      </c>
    </row>
    <row r="14" spans="1:8" x14ac:dyDescent="0.2">
      <c r="A14" t="s">
        <v>76</v>
      </c>
      <c r="B14">
        <v>2007</v>
      </c>
      <c r="C14">
        <v>9</v>
      </c>
      <c r="D14" s="3">
        <v>18.021599999999999</v>
      </c>
      <c r="E14" s="3">
        <v>6.3</v>
      </c>
      <c r="F14">
        <v>1</v>
      </c>
      <c r="G14">
        <v>-5</v>
      </c>
      <c r="H14" s="6">
        <v>2</v>
      </c>
    </row>
    <row r="15" spans="1:8" x14ac:dyDescent="0.2">
      <c r="A15" t="s">
        <v>304</v>
      </c>
      <c r="B15">
        <v>2010</v>
      </c>
      <c r="C15">
        <v>9</v>
      </c>
      <c r="D15" s="3">
        <v>17.881399999999999</v>
      </c>
      <c r="E15" s="3">
        <v>-0.16</v>
      </c>
      <c r="F15">
        <v>2</v>
      </c>
      <c r="G15">
        <v>-2</v>
      </c>
      <c r="H15" s="6">
        <f>(5/2)</f>
        <v>2.5</v>
      </c>
    </row>
    <row r="16" spans="1:8" x14ac:dyDescent="0.2">
      <c r="A16" t="s">
        <v>34</v>
      </c>
      <c r="B16">
        <v>2011</v>
      </c>
      <c r="C16">
        <v>9</v>
      </c>
      <c r="D16" s="3">
        <v>17.781700000000001</v>
      </c>
      <c r="E16" s="3">
        <v>1.19</v>
      </c>
      <c r="F16">
        <v>0</v>
      </c>
      <c r="G16">
        <v>-4</v>
      </c>
      <c r="H16" s="6">
        <v>0</v>
      </c>
    </row>
    <row r="17" spans="1:8" x14ac:dyDescent="0.2">
      <c r="A17" t="s">
        <v>1</v>
      </c>
      <c r="B17">
        <v>2010</v>
      </c>
      <c r="C17">
        <v>9</v>
      </c>
      <c r="D17" s="3">
        <v>17.466899999999999</v>
      </c>
      <c r="E17" s="3">
        <v>2.61</v>
      </c>
      <c r="F17">
        <v>0</v>
      </c>
      <c r="G17">
        <v>-15</v>
      </c>
      <c r="H17" s="6">
        <v>0</v>
      </c>
    </row>
    <row r="18" spans="1:8" x14ac:dyDescent="0.2">
      <c r="A18" t="s">
        <v>685</v>
      </c>
      <c r="B18">
        <v>2002</v>
      </c>
      <c r="C18">
        <v>9</v>
      </c>
      <c r="D18" s="3">
        <v>17.364000000000001</v>
      </c>
      <c r="E18" s="3">
        <v>7.26</v>
      </c>
      <c r="F18">
        <v>0</v>
      </c>
      <c r="G18">
        <v>-19</v>
      </c>
      <c r="H18" s="6">
        <v>0</v>
      </c>
    </row>
    <row r="19" spans="1:8" x14ac:dyDescent="0.2">
      <c r="A19" s="2" t="s">
        <v>32</v>
      </c>
      <c r="B19">
        <v>2013</v>
      </c>
      <c r="C19">
        <v>9</v>
      </c>
      <c r="D19" s="7">
        <v>17.352399999999999</v>
      </c>
      <c r="E19" s="3">
        <v>2.66</v>
      </c>
      <c r="F19">
        <v>4</v>
      </c>
      <c r="G19">
        <v>38</v>
      </c>
      <c r="H19" s="6">
        <f>(42/4)</f>
        <v>10.5</v>
      </c>
    </row>
    <row r="20" spans="1:8" x14ac:dyDescent="0.2">
      <c r="A20" t="s">
        <v>74</v>
      </c>
      <c r="B20">
        <v>2007</v>
      </c>
      <c r="C20">
        <v>9</v>
      </c>
      <c r="D20" s="3">
        <v>17.261099999999999</v>
      </c>
      <c r="E20" s="3">
        <v>3.86</v>
      </c>
      <c r="F20">
        <v>1</v>
      </c>
      <c r="G20">
        <v>2</v>
      </c>
      <c r="H20" s="6">
        <v>9</v>
      </c>
    </row>
    <row r="21" spans="1:8" x14ac:dyDescent="0.2">
      <c r="A21" s="2" t="s">
        <v>37</v>
      </c>
      <c r="B21" s="2">
        <v>2016</v>
      </c>
      <c r="C21" s="2">
        <v>9</v>
      </c>
      <c r="D21" s="7">
        <v>17.160599999999999</v>
      </c>
      <c r="E21" s="7">
        <v>1.1000000000000001</v>
      </c>
      <c r="F21" s="2">
        <v>0</v>
      </c>
      <c r="G21" s="2">
        <v>-2</v>
      </c>
      <c r="H21" s="5">
        <v>0</v>
      </c>
    </row>
    <row r="22" spans="1:8" x14ac:dyDescent="0.2">
      <c r="A22" t="s">
        <v>72</v>
      </c>
      <c r="B22">
        <v>2012</v>
      </c>
      <c r="C22">
        <v>9</v>
      </c>
      <c r="D22" s="3">
        <v>16.638500000000001</v>
      </c>
      <c r="E22" s="3">
        <v>5.94</v>
      </c>
      <c r="F22">
        <v>0</v>
      </c>
      <c r="G22">
        <v>-1</v>
      </c>
      <c r="H22" s="6">
        <v>0</v>
      </c>
    </row>
    <row r="23" spans="1:8" x14ac:dyDescent="0.2">
      <c r="A23" t="s">
        <v>44</v>
      </c>
      <c r="B23">
        <v>2008</v>
      </c>
      <c r="C23">
        <v>9</v>
      </c>
      <c r="D23" s="3">
        <v>16.287299999999998</v>
      </c>
      <c r="E23" s="3">
        <v>1.53</v>
      </c>
      <c r="F23">
        <v>0</v>
      </c>
      <c r="G23">
        <v>-7</v>
      </c>
      <c r="H23" s="6">
        <v>0</v>
      </c>
    </row>
    <row r="24" spans="1:8" x14ac:dyDescent="0.2">
      <c r="A24" t="s">
        <v>21</v>
      </c>
      <c r="B24">
        <v>2004</v>
      </c>
      <c r="C24">
        <v>9</v>
      </c>
      <c r="D24" s="3">
        <v>16.285299999999999</v>
      </c>
      <c r="E24" s="3">
        <v>7.41</v>
      </c>
      <c r="F24">
        <v>0</v>
      </c>
      <c r="G24">
        <v>-4</v>
      </c>
      <c r="H24" s="6">
        <v>0</v>
      </c>
    </row>
    <row r="25" spans="1:8" x14ac:dyDescent="0.2">
      <c r="A25" t="s">
        <v>225</v>
      </c>
      <c r="B25">
        <v>2009</v>
      </c>
      <c r="C25">
        <v>9</v>
      </c>
      <c r="D25" s="3">
        <v>16.271100000000001</v>
      </c>
      <c r="E25" s="3">
        <v>10.220000000000001</v>
      </c>
      <c r="F25">
        <v>0</v>
      </c>
      <c r="G25">
        <v>-2</v>
      </c>
      <c r="H25" s="6">
        <v>0</v>
      </c>
    </row>
    <row r="26" spans="1:8" x14ac:dyDescent="0.2">
      <c r="A26" s="2" t="s">
        <v>70</v>
      </c>
      <c r="B26" s="2">
        <v>2017</v>
      </c>
      <c r="C26" s="2">
        <v>9</v>
      </c>
      <c r="D26" s="7">
        <v>16.239999999999998</v>
      </c>
      <c r="E26" s="2">
        <v>6.6</v>
      </c>
      <c r="F26" s="2">
        <v>0</v>
      </c>
      <c r="G26" s="2">
        <v>-2</v>
      </c>
      <c r="H26" s="5">
        <v>0</v>
      </c>
    </row>
    <row r="27" spans="1:8" x14ac:dyDescent="0.2">
      <c r="A27" t="s">
        <v>17</v>
      </c>
      <c r="B27">
        <v>2006</v>
      </c>
      <c r="C27">
        <v>9</v>
      </c>
      <c r="D27" s="3">
        <v>16.213100000000001</v>
      </c>
      <c r="E27" s="3">
        <v>3.97</v>
      </c>
      <c r="F27">
        <v>0</v>
      </c>
      <c r="G27">
        <v>-19</v>
      </c>
      <c r="H27" s="6">
        <v>0</v>
      </c>
    </row>
    <row r="28" spans="1:8" x14ac:dyDescent="0.2">
      <c r="A28" s="2" t="s">
        <v>19</v>
      </c>
      <c r="B28" s="2">
        <v>2015</v>
      </c>
      <c r="C28" s="2">
        <v>9</v>
      </c>
      <c r="D28" s="7">
        <v>16.1463</v>
      </c>
      <c r="E28" s="7">
        <v>0.18</v>
      </c>
      <c r="F28" s="2">
        <v>0</v>
      </c>
      <c r="G28" s="2">
        <v>-6</v>
      </c>
      <c r="H28" s="5">
        <v>0</v>
      </c>
    </row>
    <row r="29" spans="1:8" x14ac:dyDescent="0.2">
      <c r="A29" s="2" t="s">
        <v>23</v>
      </c>
      <c r="B29" s="2">
        <v>2016</v>
      </c>
      <c r="C29" s="2">
        <v>9</v>
      </c>
      <c r="D29" s="7">
        <v>15.8797</v>
      </c>
      <c r="E29" s="7">
        <v>-0.91</v>
      </c>
      <c r="F29" s="2">
        <v>1</v>
      </c>
      <c r="G29" s="2">
        <v>2</v>
      </c>
      <c r="H29" s="5">
        <v>10</v>
      </c>
    </row>
    <row r="30" spans="1:8" x14ac:dyDescent="0.2">
      <c r="A30" t="s">
        <v>23</v>
      </c>
      <c r="B30">
        <v>2009</v>
      </c>
      <c r="C30">
        <v>9</v>
      </c>
      <c r="D30" s="3">
        <v>15.855499999999999</v>
      </c>
      <c r="E30" s="3">
        <v>5.81</v>
      </c>
      <c r="F30">
        <v>0</v>
      </c>
      <c r="G30">
        <v>-4</v>
      </c>
      <c r="H30" s="6">
        <v>0</v>
      </c>
    </row>
    <row r="31" spans="1:8" x14ac:dyDescent="0.2">
      <c r="A31" s="2" t="s">
        <v>69</v>
      </c>
      <c r="B31" s="2">
        <v>2018</v>
      </c>
      <c r="C31" s="2">
        <v>9</v>
      </c>
      <c r="D31" s="7">
        <v>15.82</v>
      </c>
      <c r="E31" s="7">
        <v>-6.72</v>
      </c>
      <c r="F31" s="2"/>
      <c r="G31" s="2"/>
      <c r="H31" s="10"/>
    </row>
    <row r="32" spans="1:8" x14ac:dyDescent="0.2">
      <c r="A32" t="s">
        <v>74</v>
      </c>
      <c r="B32">
        <v>2003</v>
      </c>
      <c r="C32">
        <v>9</v>
      </c>
      <c r="D32" s="3">
        <v>15.777200000000001</v>
      </c>
      <c r="E32" s="3">
        <v>8.08</v>
      </c>
      <c r="F32">
        <v>1</v>
      </c>
      <c r="G32">
        <v>14</v>
      </c>
      <c r="H32" s="6">
        <v>24</v>
      </c>
    </row>
    <row r="33" spans="1:8" x14ac:dyDescent="0.2">
      <c r="A33" t="s">
        <v>61</v>
      </c>
      <c r="B33">
        <v>2002</v>
      </c>
      <c r="C33">
        <v>9</v>
      </c>
      <c r="D33" s="3">
        <v>15.306800000000001</v>
      </c>
      <c r="E33" s="3">
        <v>-0.41</v>
      </c>
      <c r="F33">
        <v>0</v>
      </c>
      <c r="G33">
        <v>-16</v>
      </c>
      <c r="H33" s="6">
        <v>0</v>
      </c>
    </row>
    <row r="34" spans="1:8" x14ac:dyDescent="0.2">
      <c r="A34" s="2" t="s">
        <v>31</v>
      </c>
      <c r="B34" s="2">
        <v>2018</v>
      </c>
      <c r="C34" s="2">
        <v>9</v>
      </c>
      <c r="D34" s="7">
        <v>15.13</v>
      </c>
      <c r="E34" s="7">
        <v>-9.44</v>
      </c>
      <c r="F34" s="2">
        <v>0</v>
      </c>
      <c r="G34" s="2">
        <v>-11</v>
      </c>
      <c r="H34" s="6">
        <v>0</v>
      </c>
    </row>
    <row r="35" spans="1:8" x14ac:dyDescent="0.2">
      <c r="A35" s="2" t="s">
        <v>10</v>
      </c>
      <c r="B35" s="2">
        <v>2017</v>
      </c>
      <c r="C35" s="2">
        <v>9</v>
      </c>
      <c r="D35" s="7">
        <v>14.98</v>
      </c>
      <c r="E35" s="2">
        <v>4.2</v>
      </c>
      <c r="F35" s="2">
        <v>1</v>
      </c>
      <c r="G35" s="2">
        <v>0</v>
      </c>
      <c r="H35" s="5">
        <f>20/1</f>
        <v>20</v>
      </c>
    </row>
    <row r="36" spans="1:8" x14ac:dyDescent="0.2">
      <c r="A36" t="s">
        <v>90</v>
      </c>
      <c r="B36">
        <v>2012</v>
      </c>
      <c r="C36">
        <v>9</v>
      </c>
      <c r="D36" s="3">
        <v>14.9795</v>
      </c>
      <c r="E36" s="3">
        <v>3.11</v>
      </c>
      <c r="F36">
        <v>0</v>
      </c>
      <c r="G36">
        <v>-13</v>
      </c>
      <c r="H36" s="6">
        <v>0</v>
      </c>
    </row>
    <row r="37" spans="1:8" x14ac:dyDescent="0.2">
      <c r="A37" s="2" t="s">
        <v>537</v>
      </c>
      <c r="B37" s="2">
        <v>2017</v>
      </c>
      <c r="C37" s="2">
        <v>9</v>
      </c>
      <c r="D37" s="7">
        <v>14.94</v>
      </c>
      <c r="E37" s="2">
        <v>-7.68</v>
      </c>
      <c r="F37" s="2">
        <v>0</v>
      </c>
      <c r="G37" s="2">
        <v>-10</v>
      </c>
      <c r="H37" s="5">
        <v>0</v>
      </c>
    </row>
    <row r="38" spans="1:8" x14ac:dyDescent="0.2">
      <c r="A38" s="2" t="s">
        <v>16</v>
      </c>
      <c r="B38" s="2">
        <v>2018</v>
      </c>
      <c r="C38" s="2">
        <v>9</v>
      </c>
      <c r="D38" s="7">
        <v>14.75</v>
      </c>
      <c r="E38" s="7">
        <v>-6.03</v>
      </c>
      <c r="F38" s="2"/>
      <c r="G38" s="2"/>
      <c r="H38" s="10"/>
    </row>
    <row r="39" spans="1:8" x14ac:dyDescent="0.2">
      <c r="A39" t="s">
        <v>3</v>
      </c>
      <c r="B39">
        <v>2003</v>
      </c>
      <c r="C39">
        <v>9</v>
      </c>
      <c r="D39" s="3">
        <v>14.664099999999999</v>
      </c>
      <c r="E39" s="3">
        <v>6.41</v>
      </c>
      <c r="F39">
        <v>1</v>
      </c>
      <c r="G39">
        <v>4</v>
      </c>
      <c r="H39" s="6">
        <v>5</v>
      </c>
    </row>
    <row r="40" spans="1:8" x14ac:dyDescent="0.2">
      <c r="A40" t="s">
        <v>305</v>
      </c>
      <c r="B40">
        <v>2010</v>
      </c>
      <c r="C40">
        <v>9</v>
      </c>
      <c r="D40" s="3">
        <v>14.651999999999999</v>
      </c>
      <c r="E40" s="3">
        <v>0.56000000000000005</v>
      </c>
      <c r="F40">
        <v>1</v>
      </c>
      <c r="G40">
        <v>-29</v>
      </c>
      <c r="H40" s="6">
        <v>1</v>
      </c>
    </row>
    <row r="41" spans="1:8" x14ac:dyDescent="0.2">
      <c r="A41" s="2" t="s">
        <v>34</v>
      </c>
      <c r="B41">
        <v>2013</v>
      </c>
      <c r="C41">
        <v>9</v>
      </c>
      <c r="D41" s="7">
        <v>14.6249</v>
      </c>
      <c r="E41" s="3">
        <v>1.49</v>
      </c>
      <c r="F41">
        <v>0</v>
      </c>
      <c r="G41">
        <v>-7</v>
      </c>
      <c r="H41" s="6">
        <v>0</v>
      </c>
    </row>
    <row r="42" spans="1:8" x14ac:dyDescent="0.2">
      <c r="A42" t="s">
        <v>380</v>
      </c>
      <c r="B42">
        <v>2003</v>
      </c>
      <c r="C42">
        <v>9</v>
      </c>
      <c r="D42" s="3">
        <v>14.5831</v>
      </c>
      <c r="E42" s="3">
        <v>3.47</v>
      </c>
      <c r="F42">
        <v>1</v>
      </c>
      <c r="G42">
        <v>-18</v>
      </c>
      <c r="H42" s="6">
        <v>2</v>
      </c>
    </row>
    <row r="43" spans="1:8" x14ac:dyDescent="0.2">
      <c r="A43" t="s">
        <v>462</v>
      </c>
      <c r="B43">
        <v>2008</v>
      </c>
      <c r="C43">
        <v>9</v>
      </c>
      <c r="D43" s="3">
        <v>14.536300000000001</v>
      </c>
      <c r="E43" s="3">
        <v>2.3199999999999998</v>
      </c>
      <c r="F43">
        <v>1</v>
      </c>
      <c r="G43">
        <v>-21</v>
      </c>
      <c r="H43" s="6">
        <v>14</v>
      </c>
    </row>
    <row r="44" spans="1:8" x14ac:dyDescent="0.2">
      <c r="A44" t="s">
        <v>1067</v>
      </c>
      <c r="B44">
        <v>2006</v>
      </c>
      <c r="C44">
        <v>9</v>
      </c>
      <c r="D44" s="3">
        <v>14.415100000000001</v>
      </c>
      <c r="E44" s="3">
        <v>-0.42</v>
      </c>
      <c r="F44">
        <v>0</v>
      </c>
      <c r="G44">
        <v>-3</v>
      </c>
      <c r="H44" s="6">
        <v>0</v>
      </c>
    </row>
    <row r="45" spans="1:8" x14ac:dyDescent="0.2">
      <c r="A45" t="s">
        <v>685</v>
      </c>
      <c r="B45">
        <v>2004</v>
      </c>
      <c r="C45">
        <v>9</v>
      </c>
      <c r="D45" s="3">
        <v>14.351800000000001</v>
      </c>
      <c r="E45" s="3">
        <v>2.12</v>
      </c>
      <c r="F45">
        <v>0</v>
      </c>
      <c r="G45">
        <v>-3</v>
      </c>
      <c r="H45" s="6">
        <v>0</v>
      </c>
    </row>
    <row r="46" spans="1:8" x14ac:dyDescent="0.2">
      <c r="A46" s="2" t="s">
        <v>16</v>
      </c>
      <c r="B46" s="2">
        <v>2014</v>
      </c>
      <c r="C46" s="2">
        <v>9</v>
      </c>
      <c r="D46" s="7">
        <v>14.344200000000001</v>
      </c>
      <c r="E46" s="7">
        <v>-0.2</v>
      </c>
      <c r="F46" s="2">
        <v>0</v>
      </c>
      <c r="G46" s="2">
        <v>-7</v>
      </c>
      <c r="H46" s="5">
        <v>0</v>
      </c>
    </row>
    <row r="47" spans="1:8" x14ac:dyDescent="0.2">
      <c r="A47" s="2" t="s">
        <v>220</v>
      </c>
      <c r="B47" s="2">
        <v>2015</v>
      </c>
      <c r="C47" s="2">
        <v>9</v>
      </c>
      <c r="D47" s="7">
        <v>14.3005</v>
      </c>
      <c r="E47" s="7">
        <v>2.85</v>
      </c>
      <c r="F47" s="2">
        <v>0</v>
      </c>
      <c r="G47" s="2">
        <v>-12</v>
      </c>
      <c r="H47" s="5">
        <v>0</v>
      </c>
    </row>
    <row r="48" spans="1:8" x14ac:dyDescent="0.2">
      <c r="A48" s="2" t="s">
        <v>540</v>
      </c>
      <c r="B48" s="2">
        <v>2014</v>
      </c>
      <c r="C48" s="2">
        <v>9</v>
      </c>
      <c r="D48" s="7">
        <v>14.199199999999999</v>
      </c>
      <c r="E48" s="7">
        <v>1.45</v>
      </c>
      <c r="F48" s="2">
        <v>0</v>
      </c>
      <c r="G48" s="2">
        <v>-5</v>
      </c>
      <c r="H48" s="5">
        <v>0</v>
      </c>
    </row>
    <row r="49" spans="1:8" x14ac:dyDescent="0.2">
      <c r="A49" t="s">
        <v>616</v>
      </c>
      <c r="B49">
        <v>2004</v>
      </c>
      <c r="C49">
        <v>9</v>
      </c>
      <c r="D49" s="3">
        <v>14.1111</v>
      </c>
      <c r="E49" s="3">
        <v>4.22</v>
      </c>
      <c r="F49">
        <v>2</v>
      </c>
      <c r="G49">
        <v>-23</v>
      </c>
      <c r="H49" s="6">
        <f>(3/2)</f>
        <v>1.5</v>
      </c>
    </row>
    <row r="50" spans="1:8" x14ac:dyDescent="0.2">
      <c r="A50" t="s">
        <v>224</v>
      </c>
      <c r="B50">
        <v>2011</v>
      </c>
      <c r="C50">
        <v>9</v>
      </c>
      <c r="D50" s="3">
        <v>14.045999999999999</v>
      </c>
      <c r="E50" s="3">
        <v>5.07</v>
      </c>
      <c r="F50">
        <v>0</v>
      </c>
      <c r="G50">
        <v>-2</v>
      </c>
      <c r="H50" s="6">
        <v>0</v>
      </c>
    </row>
    <row r="51" spans="1:8" x14ac:dyDescent="0.2">
      <c r="A51" t="s">
        <v>387</v>
      </c>
      <c r="B51">
        <v>2005</v>
      </c>
      <c r="C51">
        <v>9</v>
      </c>
      <c r="D51" s="3">
        <v>14.0175</v>
      </c>
      <c r="E51" s="3">
        <v>-0.65</v>
      </c>
      <c r="F51">
        <v>1</v>
      </c>
      <c r="G51">
        <v>15</v>
      </c>
      <c r="H51" s="6">
        <v>23</v>
      </c>
    </row>
    <row r="52" spans="1:8" x14ac:dyDescent="0.2">
      <c r="A52" t="s">
        <v>222</v>
      </c>
      <c r="B52">
        <v>2009</v>
      </c>
      <c r="C52">
        <v>9</v>
      </c>
      <c r="D52" s="3">
        <v>14.009399999999999</v>
      </c>
      <c r="E52" s="3">
        <v>-1.27</v>
      </c>
      <c r="F52">
        <v>1</v>
      </c>
      <c r="G52">
        <v>-13</v>
      </c>
      <c r="H52" s="6">
        <v>13</v>
      </c>
    </row>
    <row r="53" spans="1:8" x14ac:dyDescent="0.2">
      <c r="A53" t="s">
        <v>552</v>
      </c>
      <c r="B53">
        <v>2004</v>
      </c>
      <c r="C53">
        <v>9</v>
      </c>
      <c r="D53" s="3">
        <v>14.009</v>
      </c>
      <c r="E53" s="3">
        <v>2.58</v>
      </c>
      <c r="F53">
        <v>0</v>
      </c>
      <c r="G53">
        <v>-1</v>
      </c>
      <c r="H53" s="6">
        <v>0</v>
      </c>
    </row>
    <row r="54" spans="1:8" x14ac:dyDescent="0.2">
      <c r="A54" s="2" t="s">
        <v>74</v>
      </c>
      <c r="B54" s="2">
        <v>2015</v>
      </c>
      <c r="C54" s="2">
        <v>9</v>
      </c>
      <c r="D54" s="7">
        <v>13.9634</v>
      </c>
      <c r="E54" s="7">
        <v>0.62</v>
      </c>
      <c r="F54" s="2">
        <v>0</v>
      </c>
      <c r="G54" s="2">
        <v>-1</v>
      </c>
      <c r="H54" s="5">
        <v>0</v>
      </c>
    </row>
    <row r="55" spans="1:8" x14ac:dyDescent="0.2">
      <c r="A55" s="2" t="s">
        <v>383</v>
      </c>
      <c r="B55" s="2">
        <v>2015</v>
      </c>
      <c r="C55" s="2">
        <v>9</v>
      </c>
      <c r="D55" s="7">
        <v>13.9596</v>
      </c>
      <c r="E55" s="7">
        <v>-1.88</v>
      </c>
      <c r="F55" s="2">
        <v>0</v>
      </c>
      <c r="G55" s="2">
        <v>-1</v>
      </c>
      <c r="H55" s="5">
        <v>0</v>
      </c>
    </row>
    <row r="56" spans="1:8" x14ac:dyDescent="0.2">
      <c r="A56" s="2" t="s">
        <v>617</v>
      </c>
      <c r="B56" s="2">
        <v>2017</v>
      </c>
      <c r="C56" s="2">
        <v>9</v>
      </c>
      <c r="D56" s="7">
        <v>13.95</v>
      </c>
      <c r="E56" s="2">
        <v>-2.11</v>
      </c>
      <c r="F56" s="2">
        <v>0</v>
      </c>
      <c r="G56" s="2">
        <v>-6</v>
      </c>
      <c r="H56" s="5">
        <v>0</v>
      </c>
    </row>
    <row r="57" spans="1:8" x14ac:dyDescent="0.2">
      <c r="A57" s="2" t="s">
        <v>72</v>
      </c>
      <c r="B57" s="2">
        <v>2018</v>
      </c>
      <c r="C57" s="2">
        <v>9</v>
      </c>
      <c r="D57" s="7">
        <v>13.83</v>
      </c>
      <c r="E57" s="7">
        <v>3.02</v>
      </c>
      <c r="F57" s="2"/>
      <c r="G57" s="2"/>
      <c r="H57" s="10"/>
    </row>
    <row r="58" spans="1:8" x14ac:dyDescent="0.2">
      <c r="A58" s="2" t="s">
        <v>754</v>
      </c>
      <c r="B58" s="2">
        <v>2016</v>
      </c>
      <c r="C58" s="2">
        <v>9</v>
      </c>
      <c r="D58" s="7">
        <v>13.584300000000001</v>
      </c>
      <c r="E58" s="7">
        <v>-0.39</v>
      </c>
      <c r="F58" s="2">
        <v>1</v>
      </c>
      <c r="G58" s="2">
        <v>-18</v>
      </c>
      <c r="H58" s="5">
        <v>1</v>
      </c>
    </row>
    <row r="59" spans="1:8" x14ac:dyDescent="0.2">
      <c r="A59" t="s">
        <v>463</v>
      </c>
      <c r="B59">
        <v>2008</v>
      </c>
      <c r="C59">
        <v>9</v>
      </c>
      <c r="D59" s="3">
        <v>13.4892</v>
      </c>
      <c r="E59" s="3">
        <v>1.31</v>
      </c>
      <c r="F59">
        <v>0</v>
      </c>
      <c r="G59">
        <v>-13</v>
      </c>
      <c r="H59" s="6">
        <v>0</v>
      </c>
    </row>
    <row r="60" spans="1:8" x14ac:dyDescent="0.2">
      <c r="A60" t="s">
        <v>225</v>
      </c>
      <c r="B60">
        <v>2011</v>
      </c>
      <c r="C60">
        <v>9</v>
      </c>
      <c r="D60" s="3">
        <v>13.039400000000001</v>
      </c>
      <c r="E60" s="3">
        <v>9.26</v>
      </c>
      <c r="F60">
        <v>0</v>
      </c>
      <c r="G60">
        <v>-30</v>
      </c>
      <c r="H60" s="6">
        <v>0</v>
      </c>
    </row>
    <row r="61" spans="1:8" x14ac:dyDescent="0.2">
      <c r="A61" t="s">
        <v>31</v>
      </c>
      <c r="B61">
        <v>2003</v>
      </c>
      <c r="C61">
        <v>9</v>
      </c>
      <c r="D61" s="3">
        <v>12.8155</v>
      </c>
      <c r="E61" s="3">
        <v>-3.14</v>
      </c>
      <c r="F61">
        <v>0</v>
      </c>
      <c r="G61">
        <v>-2</v>
      </c>
      <c r="H61" s="6">
        <v>0</v>
      </c>
    </row>
    <row r="62" spans="1:8" x14ac:dyDescent="0.2">
      <c r="A62" t="s">
        <v>36</v>
      </c>
      <c r="B62">
        <v>2005</v>
      </c>
      <c r="C62">
        <v>9</v>
      </c>
      <c r="D62" s="3">
        <v>12.700100000000001</v>
      </c>
      <c r="E62" s="3">
        <v>0.13</v>
      </c>
      <c r="F62">
        <v>1</v>
      </c>
      <c r="G62">
        <v>-16</v>
      </c>
      <c r="H62" s="6">
        <v>11</v>
      </c>
    </row>
    <row r="63" spans="1:8" x14ac:dyDescent="0.2">
      <c r="A63" t="s">
        <v>43</v>
      </c>
      <c r="B63">
        <v>2006</v>
      </c>
      <c r="C63">
        <v>9</v>
      </c>
      <c r="D63" s="3">
        <v>12.4254</v>
      </c>
      <c r="E63" s="3">
        <v>5.17</v>
      </c>
      <c r="F63">
        <v>1</v>
      </c>
      <c r="G63">
        <v>-12</v>
      </c>
      <c r="H63" s="6">
        <v>4</v>
      </c>
    </row>
    <row r="64" spans="1:8" x14ac:dyDescent="0.2">
      <c r="A64" t="s">
        <v>616</v>
      </c>
      <c r="B64">
        <v>2006</v>
      </c>
      <c r="C64">
        <v>9</v>
      </c>
      <c r="D64" s="3">
        <v>12.203900000000001</v>
      </c>
      <c r="E64" s="3">
        <v>1.64</v>
      </c>
      <c r="F64">
        <v>0</v>
      </c>
      <c r="G64">
        <v>-5</v>
      </c>
      <c r="H64" s="6">
        <v>0</v>
      </c>
    </row>
    <row r="65" spans="1:8" x14ac:dyDescent="0.2">
      <c r="A65" s="2" t="s">
        <v>35</v>
      </c>
      <c r="B65">
        <v>2013</v>
      </c>
      <c r="C65">
        <v>9</v>
      </c>
      <c r="D65" s="7">
        <v>11.960100000000001</v>
      </c>
      <c r="E65" s="3">
        <v>2.97</v>
      </c>
      <c r="F65">
        <v>1</v>
      </c>
      <c r="G65">
        <v>-2</v>
      </c>
      <c r="H65" s="6">
        <v>4</v>
      </c>
    </row>
    <row r="66" spans="1:8" x14ac:dyDescent="0.2">
      <c r="A66" t="s">
        <v>309</v>
      </c>
      <c r="B66">
        <v>2009</v>
      </c>
      <c r="C66">
        <v>9</v>
      </c>
      <c r="D66" s="3">
        <v>11.3818</v>
      </c>
      <c r="E66" s="3">
        <v>7.87</v>
      </c>
      <c r="F66">
        <v>1</v>
      </c>
      <c r="G66">
        <v>-5</v>
      </c>
      <c r="H66" s="6">
        <v>2</v>
      </c>
    </row>
    <row r="67" spans="1:8" x14ac:dyDescent="0.2">
      <c r="A67" t="s">
        <v>538</v>
      </c>
      <c r="B67">
        <v>2005</v>
      </c>
      <c r="C67">
        <v>9</v>
      </c>
      <c r="D67" s="3">
        <v>11.245100000000001</v>
      </c>
      <c r="E67" s="3">
        <v>1.65</v>
      </c>
      <c r="F67">
        <v>1</v>
      </c>
      <c r="G67">
        <v>-8</v>
      </c>
      <c r="H67" s="6">
        <v>4</v>
      </c>
    </row>
    <row r="68" spans="1:8" x14ac:dyDescent="0.2">
      <c r="A68" t="s">
        <v>73</v>
      </c>
      <c r="B68">
        <v>2012</v>
      </c>
      <c r="C68">
        <v>9</v>
      </c>
      <c r="D68" s="3">
        <v>11.228400000000001</v>
      </c>
      <c r="E68" s="3">
        <v>2.04</v>
      </c>
      <c r="F68">
        <v>0</v>
      </c>
      <c r="G68">
        <v>-6</v>
      </c>
      <c r="H68" s="6">
        <v>0</v>
      </c>
    </row>
    <row r="69" spans="1:8" x14ac:dyDescent="0.2">
      <c r="A69" t="s">
        <v>220</v>
      </c>
      <c r="B69">
        <v>2002</v>
      </c>
      <c r="C69">
        <v>9</v>
      </c>
      <c r="D69" s="3">
        <v>10.027699999999999</v>
      </c>
      <c r="E69" s="3">
        <v>0.89</v>
      </c>
      <c r="F69">
        <v>0</v>
      </c>
      <c r="G69">
        <v>-10</v>
      </c>
      <c r="H69" s="6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9"/>
  <sheetViews>
    <sheetView topLeftCell="A27" workbookViewId="0">
      <selection activeCell="G60" sqref="G60"/>
    </sheetView>
  </sheetViews>
  <sheetFormatPr baseColWidth="10" defaultRowHeight="16" x14ac:dyDescent="0.2"/>
  <cols>
    <col min="1" max="1" width="14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1178</v>
      </c>
      <c r="E1" s="1" t="s">
        <v>1176</v>
      </c>
      <c r="F1" s="1" t="s">
        <v>65</v>
      </c>
      <c r="G1" s="1" t="s">
        <v>91</v>
      </c>
      <c r="H1" s="1" t="s">
        <v>92</v>
      </c>
    </row>
    <row r="2" spans="1:8" x14ac:dyDescent="0.2">
      <c r="A2" s="2" t="s">
        <v>32</v>
      </c>
      <c r="B2" s="2">
        <v>2017</v>
      </c>
      <c r="C2" s="2">
        <v>10</v>
      </c>
      <c r="D2" s="7">
        <v>26.41</v>
      </c>
      <c r="E2" s="2">
        <v>-0.02</v>
      </c>
      <c r="F2" s="2">
        <v>1</v>
      </c>
      <c r="G2" s="2">
        <v>3</v>
      </c>
      <c r="H2" s="5">
        <f>6/1</f>
        <v>6</v>
      </c>
    </row>
    <row r="3" spans="1:8" x14ac:dyDescent="0.2">
      <c r="A3" s="2" t="s">
        <v>19</v>
      </c>
      <c r="B3" s="2">
        <v>2017</v>
      </c>
      <c r="C3" s="2">
        <v>10</v>
      </c>
      <c r="D3" s="7">
        <v>22.1</v>
      </c>
      <c r="E3" s="2">
        <v>3.02</v>
      </c>
      <c r="F3" s="2">
        <v>0</v>
      </c>
      <c r="G3" s="2">
        <v>-1</v>
      </c>
      <c r="H3" s="5">
        <v>0</v>
      </c>
    </row>
    <row r="4" spans="1:8" x14ac:dyDescent="0.2">
      <c r="A4" t="s">
        <v>1</v>
      </c>
      <c r="B4">
        <v>2004</v>
      </c>
      <c r="C4">
        <v>10</v>
      </c>
      <c r="D4" s="3">
        <v>21.138300000000001</v>
      </c>
      <c r="E4" s="3">
        <v>7.03</v>
      </c>
      <c r="F4">
        <v>0</v>
      </c>
      <c r="G4">
        <v>-10</v>
      </c>
      <c r="H4" s="6">
        <v>0</v>
      </c>
    </row>
    <row r="5" spans="1:8" x14ac:dyDescent="0.2">
      <c r="A5" s="2" t="s">
        <v>5</v>
      </c>
      <c r="B5" s="4">
        <v>2015</v>
      </c>
      <c r="C5" s="2">
        <v>10</v>
      </c>
      <c r="D5" s="7">
        <v>21.034600000000001</v>
      </c>
      <c r="E5" s="7">
        <v>-2.0099999999999998</v>
      </c>
      <c r="F5" s="2">
        <v>1</v>
      </c>
      <c r="G5" s="2">
        <v>-12</v>
      </c>
      <c r="H5" s="5">
        <v>3</v>
      </c>
    </row>
    <row r="6" spans="1:8" x14ac:dyDescent="0.2">
      <c r="A6" t="s">
        <v>51</v>
      </c>
      <c r="B6">
        <v>2008</v>
      </c>
      <c r="C6">
        <v>10</v>
      </c>
      <c r="D6" s="3">
        <v>20.017900000000001</v>
      </c>
      <c r="E6" s="3">
        <v>12.21</v>
      </c>
      <c r="F6">
        <v>3</v>
      </c>
      <c r="G6">
        <v>25</v>
      </c>
      <c r="H6" s="6">
        <f>(27/3)</f>
        <v>9</v>
      </c>
    </row>
    <row r="7" spans="1:8" x14ac:dyDescent="0.2">
      <c r="A7" t="s">
        <v>21</v>
      </c>
      <c r="B7">
        <v>2008</v>
      </c>
      <c r="C7">
        <v>10</v>
      </c>
      <c r="D7" s="3">
        <v>19.71</v>
      </c>
      <c r="E7" s="3">
        <v>10.220000000000001</v>
      </c>
      <c r="F7">
        <v>0</v>
      </c>
      <c r="G7">
        <v>-10</v>
      </c>
      <c r="H7" s="6">
        <v>0</v>
      </c>
    </row>
    <row r="8" spans="1:8" x14ac:dyDescent="0.2">
      <c r="A8" t="s">
        <v>306</v>
      </c>
      <c r="B8">
        <v>2007</v>
      </c>
      <c r="C8">
        <v>10</v>
      </c>
      <c r="D8" s="3">
        <v>19.342700000000001</v>
      </c>
      <c r="E8" s="3">
        <v>1.07</v>
      </c>
      <c r="F8">
        <v>0</v>
      </c>
      <c r="G8">
        <v>-4</v>
      </c>
      <c r="H8" s="6">
        <v>0</v>
      </c>
    </row>
    <row r="9" spans="1:8" x14ac:dyDescent="0.2">
      <c r="A9" t="s">
        <v>33</v>
      </c>
      <c r="B9">
        <v>2010</v>
      </c>
      <c r="C9">
        <v>10</v>
      </c>
      <c r="D9" s="3">
        <v>19.232399999999998</v>
      </c>
      <c r="E9" s="3">
        <v>-2.61</v>
      </c>
      <c r="F9">
        <v>1</v>
      </c>
      <c r="G9">
        <v>-1</v>
      </c>
      <c r="H9" s="6">
        <v>8</v>
      </c>
    </row>
    <row r="10" spans="1:8" x14ac:dyDescent="0.2">
      <c r="A10" t="s">
        <v>41</v>
      </c>
      <c r="B10">
        <v>2010</v>
      </c>
      <c r="C10">
        <v>10</v>
      </c>
      <c r="D10" s="3">
        <v>18.953900000000001</v>
      </c>
      <c r="E10" s="3">
        <v>2.54</v>
      </c>
      <c r="F10">
        <v>2</v>
      </c>
      <c r="G10">
        <v>-7</v>
      </c>
      <c r="H10" s="6">
        <f>(16/2)</f>
        <v>8</v>
      </c>
    </row>
    <row r="11" spans="1:8" x14ac:dyDescent="0.2">
      <c r="A11" t="s">
        <v>25</v>
      </c>
      <c r="B11">
        <v>2007</v>
      </c>
      <c r="C11">
        <v>10</v>
      </c>
      <c r="D11" s="3">
        <v>18.7742</v>
      </c>
      <c r="E11" s="3">
        <v>4.12</v>
      </c>
      <c r="F11">
        <v>0</v>
      </c>
      <c r="G11">
        <v>-6</v>
      </c>
      <c r="H11" s="6">
        <v>0</v>
      </c>
    </row>
    <row r="12" spans="1:8" x14ac:dyDescent="0.2">
      <c r="A12" t="s">
        <v>31</v>
      </c>
      <c r="B12">
        <v>2005</v>
      </c>
      <c r="C12">
        <v>10</v>
      </c>
      <c r="D12" s="3">
        <v>18.5215</v>
      </c>
      <c r="E12" s="3">
        <v>-0.99</v>
      </c>
      <c r="F12">
        <v>2</v>
      </c>
      <c r="G12">
        <v>6</v>
      </c>
      <c r="H12" s="6">
        <f>(15/2)</f>
        <v>7.5</v>
      </c>
    </row>
    <row r="13" spans="1:8" x14ac:dyDescent="0.2">
      <c r="A13" t="s">
        <v>538</v>
      </c>
      <c r="B13">
        <v>2004</v>
      </c>
      <c r="C13">
        <v>10</v>
      </c>
      <c r="D13" s="3">
        <v>18.3764</v>
      </c>
      <c r="E13" s="3">
        <v>5.41</v>
      </c>
      <c r="F13">
        <v>2</v>
      </c>
      <c r="G13">
        <v>20</v>
      </c>
      <c r="H13" s="6">
        <f>(25/2)</f>
        <v>12.5</v>
      </c>
    </row>
    <row r="14" spans="1:8" x14ac:dyDescent="0.2">
      <c r="A14" t="s">
        <v>463</v>
      </c>
      <c r="B14">
        <v>2002</v>
      </c>
      <c r="C14">
        <v>10</v>
      </c>
      <c r="D14" s="3">
        <v>18.302</v>
      </c>
      <c r="E14" s="3">
        <v>1.41</v>
      </c>
      <c r="F14">
        <v>3</v>
      </c>
      <c r="G14">
        <v>14</v>
      </c>
      <c r="H14" s="6">
        <f>26 / 3</f>
        <v>8.6666666666666661</v>
      </c>
    </row>
    <row r="15" spans="1:8" x14ac:dyDescent="0.2">
      <c r="A15" s="2" t="s">
        <v>23</v>
      </c>
      <c r="B15" s="2">
        <v>2018</v>
      </c>
      <c r="C15" s="2">
        <v>10</v>
      </c>
      <c r="D15" s="7">
        <v>17.87</v>
      </c>
      <c r="E15" s="7">
        <v>0.27</v>
      </c>
      <c r="F15" s="2"/>
      <c r="G15" s="2"/>
      <c r="H15" s="10"/>
    </row>
    <row r="16" spans="1:8" x14ac:dyDescent="0.2">
      <c r="A16" t="s">
        <v>306</v>
      </c>
      <c r="B16">
        <v>2010</v>
      </c>
      <c r="C16">
        <v>10</v>
      </c>
      <c r="D16" s="3">
        <v>17.660900000000002</v>
      </c>
      <c r="E16" s="3">
        <v>-1.02</v>
      </c>
      <c r="F16">
        <v>1</v>
      </c>
      <c r="G16">
        <v>-4</v>
      </c>
      <c r="H16" s="6">
        <v>5</v>
      </c>
    </row>
    <row r="17" spans="1:8" x14ac:dyDescent="0.2">
      <c r="A17" s="2" t="s">
        <v>12</v>
      </c>
      <c r="B17" s="2">
        <v>2017</v>
      </c>
      <c r="C17" s="2">
        <v>10</v>
      </c>
      <c r="D17" s="7">
        <v>17.57</v>
      </c>
      <c r="E17" s="2">
        <v>-1.82</v>
      </c>
      <c r="F17" s="2">
        <v>0</v>
      </c>
      <c r="G17" s="2">
        <v>-20</v>
      </c>
      <c r="H17" s="5">
        <v>0</v>
      </c>
    </row>
    <row r="18" spans="1:8" x14ac:dyDescent="0.2">
      <c r="A18" t="s">
        <v>615</v>
      </c>
      <c r="B18">
        <v>2005</v>
      </c>
      <c r="C18">
        <v>10</v>
      </c>
      <c r="D18" s="3">
        <v>17.539000000000001</v>
      </c>
      <c r="E18" s="3">
        <v>6.26</v>
      </c>
      <c r="F18">
        <v>0</v>
      </c>
      <c r="G18">
        <v>-12</v>
      </c>
      <c r="H18" s="6">
        <v>0</v>
      </c>
    </row>
    <row r="19" spans="1:8" x14ac:dyDescent="0.2">
      <c r="A19" t="s">
        <v>10</v>
      </c>
      <c r="B19">
        <v>2002</v>
      </c>
      <c r="C19">
        <v>10</v>
      </c>
      <c r="D19" s="3">
        <v>17.537199999999999</v>
      </c>
      <c r="E19" s="3">
        <v>5.1100000000000003</v>
      </c>
      <c r="F19">
        <v>0</v>
      </c>
      <c r="G19">
        <v>-11</v>
      </c>
      <c r="H19" s="6">
        <v>0</v>
      </c>
    </row>
    <row r="20" spans="1:8" x14ac:dyDescent="0.2">
      <c r="A20" t="s">
        <v>75</v>
      </c>
      <c r="B20">
        <v>2012</v>
      </c>
      <c r="C20">
        <v>10</v>
      </c>
      <c r="D20" s="3">
        <v>17.369299999999999</v>
      </c>
      <c r="E20" s="3">
        <v>-3.71</v>
      </c>
      <c r="F20">
        <v>0</v>
      </c>
      <c r="G20">
        <v>-26</v>
      </c>
      <c r="H20" s="6">
        <v>0</v>
      </c>
    </row>
    <row r="21" spans="1:8" x14ac:dyDescent="0.2">
      <c r="A21" t="s">
        <v>384</v>
      </c>
      <c r="B21">
        <v>2009</v>
      </c>
      <c r="C21">
        <v>10</v>
      </c>
      <c r="D21" s="3">
        <v>17.2485</v>
      </c>
      <c r="E21" s="3">
        <v>4.54</v>
      </c>
      <c r="F21">
        <v>1</v>
      </c>
      <c r="G21">
        <v>12</v>
      </c>
      <c r="H21" s="6">
        <v>17</v>
      </c>
    </row>
    <row r="22" spans="1:8" x14ac:dyDescent="0.2">
      <c r="A22" s="2" t="s">
        <v>18</v>
      </c>
      <c r="B22" s="2">
        <v>2016</v>
      </c>
      <c r="C22" s="2">
        <v>10</v>
      </c>
      <c r="D22" s="7">
        <v>17.011099999999999</v>
      </c>
      <c r="E22" s="7">
        <v>3.46</v>
      </c>
      <c r="F22" s="2">
        <v>1</v>
      </c>
      <c r="G22" s="2">
        <v>4</v>
      </c>
      <c r="H22" s="5">
        <v>8</v>
      </c>
    </row>
    <row r="23" spans="1:8" x14ac:dyDescent="0.2">
      <c r="A23" s="2" t="s">
        <v>51</v>
      </c>
      <c r="B23" s="4">
        <v>2015</v>
      </c>
      <c r="C23" s="2">
        <v>10</v>
      </c>
      <c r="D23" s="7">
        <v>16.7683</v>
      </c>
      <c r="E23" s="7">
        <v>-3.07</v>
      </c>
      <c r="F23" s="2">
        <v>0</v>
      </c>
      <c r="G23" s="2">
        <v>-31</v>
      </c>
      <c r="H23" s="5">
        <v>0</v>
      </c>
    </row>
    <row r="24" spans="1:8" x14ac:dyDescent="0.2">
      <c r="A24" t="s">
        <v>381</v>
      </c>
      <c r="B24">
        <v>2003</v>
      </c>
      <c r="C24">
        <v>10</v>
      </c>
      <c r="D24" s="3">
        <v>16.391300000000001</v>
      </c>
      <c r="E24" s="3">
        <v>8.18</v>
      </c>
      <c r="F24">
        <v>1</v>
      </c>
      <c r="G24">
        <v>-19</v>
      </c>
      <c r="H24" s="6">
        <v>13</v>
      </c>
    </row>
    <row r="25" spans="1:8" x14ac:dyDescent="0.2">
      <c r="A25" t="s">
        <v>31</v>
      </c>
      <c r="B25">
        <v>2006</v>
      </c>
      <c r="C25">
        <v>10</v>
      </c>
      <c r="D25" s="3">
        <v>16.25</v>
      </c>
      <c r="E25" s="3">
        <v>-3.62</v>
      </c>
      <c r="F25">
        <v>1</v>
      </c>
      <c r="G25">
        <v>-15</v>
      </c>
      <c r="H25" s="6">
        <v>6</v>
      </c>
    </row>
    <row r="26" spans="1:8" x14ac:dyDescent="0.2">
      <c r="A26" s="2" t="s">
        <v>36</v>
      </c>
      <c r="B26">
        <v>2013</v>
      </c>
      <c r="C26">
        <v>10</v>
      </c>
      <c r="D26" s="7">
        <v>16.238800000000001</v>
      </c>
      <c r="E26" s="3">
        <v>-0.49</v>
      </c>
      <c r="F26">
        <v>1</v>
      </c>
      <c r="G26">
        <v>15</v>
      </c>
      <c r="H26" s="6">
        <v>18</v>
      </c>
    </row>
    <row r="27" spans="1:8" x14ac:dyDescent="0.2">
      <c r="A27" s="2" t="s">
        <v>28</v>
      </c>
      <c r="B27" s="2">
        <v>2016</v>
      </c>
      <c r="C27" s="2">
        <v>10</v>
      </c>
      <c r="D27" s="7">
        <v>16.238199999999999</v>
      </c>
      <c r="E27" s="7">
        <v>-2.4700000000000002</v>
      </c>
      <c r="F27" s="2">
        <v>0</v>
      </c>
      <c r="G27" s="2">
        <v>-4</v>
      </c>
      <c r="H27" s="5">
        <v>0</v>
      </c>
    </row>
    <row r="28" spans="1:8" x14ac:dyDescent="0.2">
      <c r="A28" t="s">
        <v>756</v>
      </c>
      <c r="B28">
        <v>2004</v>
      </c>
      <c r="C28">
        <v>10</v>
      </c>
      <c r="D28" s="3">
        <v>16.1677</v>
      </c>
      <c r="E28" s="3">
        <v>-5.22</v>
      </c>
      <c r="F28">
        <v>0</v>
      </c>
      <c r="G28">
        <v>-16</v>
      </c>
      <c r="H28" s="6">
        <v>0</v>
      </c>
    </row>
    <row r="29" spans="1:8" x14ac:dyDescent="0.2">
      <c r="A29" t="s">
        <v>304</v>
      </c>
      <c r="B29">
        <v>2006</v>
      </c>
      <c r="C29">
        <v>10</v>
      </c>
      <c r="D29" s="3">
        <v>16.062000000000001</v>
      </c>
      <c r="E29" s="3">
        <v>1.89</v>
      </c>
      <c r="F29">
        <v>0</v>
      </c>
      <c r="G29">
        <v>-5</v>
      </c>
      <c r="H29" s="6">
        <v>0</v>
      </c>
    </row>
    <row r="30" spans="1:8" x14ac:dyDescent="0.2">
      <c r="A30" s="2" t="s">
        <v>459</v>
      </c>
      <c r="B30" s="2">
        <v>2014</v>
      </c>
      <c r="C30" s="2">
        <v>10</v>
      </c>
      <c r="D30" s="7">
        <v>16.011600000000001</v>
      </c>
      <c r="E30" s="7">
        <v>4.99</v>
      </c>
      <c r="F30" s="2">
        <v>2</v>
      </c>
      <c r="G30" s="2">
        <v>-2</v>
      </c>
      <c r="H30" s="6">
        <f>8/2</f>
        <v>4</v>
      </c>
    </row>
    <row r="31" spans="1:8" x14ac:dyDescent="0.2">
      <c r="A31" t="s">
        <v>74</v>
      </c>
      <c r="B31">
        <v>2012</v>
      </c>
      <c r="C31">
        <v>10</v>
      </c>
      <c r="D31" s="3">
        <v>15.9796</v>
      </c>
      <c r="E31" s="3">
        <v>0.46</v>
      </c>
      <c r="F31">
        <v>1</v>
      </c>
      <c r="G31">
        <v>0</v>
      </c>
      <c r="H31" s="6">
        <v>3</v>
      </c>
    </row>
    <row r="32" spans="1:8" x14ac:dyDescent="0.2">
      <c r="A32" s="2" t="s">
        <v>14</v>
      </c>
      <c r="B32" s="2">
        <v>2016</v>
      </c>
      <c r="C32" s="2">
        <v>10</v>
      </c>
      <c r="D32" s="7">
        <v>15.8399</v>
      </c>
      <c r="E32" s="7">
        <v>1.95</v>
      </c>
      <c r="F32" s="2">
        <v>4</v>
      </c>
      <c r="G32" s="2">
        <v>36</v>
      </c>
      <c r="H32" s="5">
        <f>53 / 4</f>
        <v>13.25</v>
      </c>
    </row>
    <row r="33" spans="1:8" x14ac:dyDescent="0.2">
      <c r="A33" t="s">
        <v>39</v>
      </c>
      <c r="B33">
        <v>2003</v>
      </c>
      <c r="C33">
        <v>10</v>
      </c>
      <c r="D33" s="3">
        <v>15.6839</v>
      </c>
      <c r="E33" s="3">
        <v>0.99</v>
      </c>
      <c r="F33">
        <v>0</v>
      </c>
      <c r="G33">
        <v>-15</v>
      </c>
      <c r="H33" s="6">
        <v>0</v>
      </c>
    </row>
    <row r="34" spans="1:8" x14ac:dyDescent="0.2">
      <c r="A34" s="2" t="s">
        <v>37</v>
      </c>
      <c r="B34">
        <v>2013</v>
      </c>
      <c r="C34">
        <v>10</v>
      </c>
      <c r="D34" s="7">
        <v>15.6279</v>
      </c>
      <c r="E34" s="3">
        <v>-1.82</v>
      </c>
      <c r="F34">
        <v>0</v>
      </c>
      <c r="G34">
        <v>-4</v>
      </c>
      <c r="H34" s="6">
        <v>0</v>
      </c>
    </row>
    <row r="35" spans="1:8" x14ac:dyDescent="0.2">
      <c r="A35" t="s">
        <v>3</v>
      </c>
      <c r="B35">
        <v>2007</v>
      </c>
      <c r="C35">
        <v>10</v>
      </c>
      <c r="D35" s="3">
        <v>15.4663</v>
      </c>
      <c r="E35" s="3">
        <v>10.14</v>
      </c>
      <c r="F35">
        <v>0</v>
      </c>
      <c r="G35">
        <v>-13</v>
      </c>
      <c r="H35" s="6">
        <v>0</v>
      </c>
    </row>
    <row r="36" spans="1:8" x14ac:dyDescent="0.2">
      <c r="A36" s="2" t="s">
        <v>78</v>
      </c>
      <c r="B36" s="2">
        <v>2018</v>
      </c>
      <c r="C36" s="2">
        <v>10</v>
      </c>
      <c r="D36" s="7">
        <v>15.46</v>
      </c>
      <c r="E36" s="7">
        <v>2.19</v>
      </c>
      <c r="F36" s="2">
        <v>0</v>
      </c>
      <c r="G36" s="2">
        <v>-4</v>
      </c>
      <c r="H36" s="6">
        <v>0</v>
      </c>
    </row>
    <row r="37" spans="1:8" x14ac:dyDescent="0.2">
      <c r="A37" s="2" t="s">
        <v>381</v>
      </c>
      <c r="B37" s="2">
        <v>2014</v>
      </c>
      <c r="C37" s="2">
        <v>10</v>
      </c>
      <c r="D37" s="7">
        <v>15.4414</v>
      </c>
      <c r="E37" s="7">
        <v>-0.06</v>
      </c>
      <c r="F37" s="2">
        <v>0</v>
      </c>
      <c r="G37" s="2">
        <v>-2</v>
      </c>
      <c r="H37" s="5">
        <v>0</v>
      </c>
    </row>
    <row r="38" spans="1:8" x14ac:dyDescent="0.2">
      <c r="A38" t="s">
        <v>41</v>
      </c>
      <c r="B38">
        <v>2008</v>
      </c>
      <c r="C38">
        <v>10</v>
      </c>
      <c r="D38" s="3">
        <v>15.427</v>
      </c>
      <c r="E38" s="3">
        <v>4.01</v>
      </c>
      <c r="F38">
        <v>0</v>
      </c>
      <c r="G38">
        <v>-14</v>
      </c>
      <c r="H38" s="6">
        <v>0</v>
      </c>
    </row>
    <row r="39" spans="1:8" x14ac:dyDescent="0.2">
      <c r="A39" s="2" t="s">
        <v>227</v>
      </c>
      <c r="B39" s="4">
        <v>2015</v>
      </c>
      <c r="C39" s="2">
        <v>10</v>
      </c>
      <c r="D39" s="7">
        <v>15.396599999999999</v>
      </c>
      <c r="E39" s="7">
        <v>3.32</v>
      </c>
      <c r="F39" s="2">
        <v>0</v>
      </c>
      <c r="G39" s="2">
        <v>-7</v>
      </c>
      <c r="H39" s="5">
        <v>0</v>
      </c>
    </row>
    <row r="40" spans="1:8" x14ac:dyDescent="0.2">
      <c r="A40" t="s">
        <v>40</v>
      </c>
      <c r="B40">
        <v>2009</v>
      </c>
      <c r="C40">
        <v>10</v>
      </c>
      <c r="D40" s="3">
        <v>15.3332</v>
      </c>
      <c r="E40" s="3">
        <v>0.25</v>
      </c>
      <c r="F40">
        <v>0</v>
      </c>
      <c r="G40">
        <v>-14</v>
      </c>
      <c r="H40" s="6">
        <v>0</v>
      </c>
    </row>
    <row r="41" spans="1:8" x14ac:dyDescent="0.2">
      <c r="A41" t="s">
        <v>72</v>
      </c>
      <c r="B41">
        <v>2003</v>
      </c>
      <c r="C41">
        <v>10</v>
      </c>
      <c r="D41" s="3">
        <v>15.225199999999999</v>
      </c>
      <c r="E41" s="3">
        <v>5.75</v>
      </c>
      <c r="F41">
        <v>0</v>
      </c>
      <c r="G41">
        <v>-5</v>
      </c>
      <c r="H41" s="6">
        <v>0</v>
      </c>
    </row>
    <row r="42" spans="1:8" x14ac:dyDescent="0.2">
      <c r="A42" s="2" t="s">
        <v>39</v>
      </c>
      <c r="B42">
        <v>2013</v>
      </c>
      <c r="C42">
        <v>10</v>
      </c>
      <c r="D42" s="7">
        <v>14.745900000000001</v>
      </c>
      <c r="E42" s="3">
        <v>5.19</v>
      </c>
      <c r="F42">
        <v>0</v>
      </c>
      <c r="G42">
        <v>-8</v>
      </c>
      <c r="H42" s="6">
        <v>0</v>
      </c>
    </row>
    <row r="43" spans="1:8" x14ac:dyDescent="0.2">
      <c r="A43" s="2" t="s">
        <v>83</v>
      </c>
      <c r="B43" s="2">
        <v>2014</v>
      </c>
      <c r="C43" s="2">
        <v>10</v>
      </c>
      <c r="D43" s="7">
        <v>14.743499999999999</v>
      </c>
      <c r="E43" s="7">
        <v>8.44</v>
      </c>
      <c r="F43" s="2">
        <v>0</v>
      </c>
      <c r="G43" s="2">
        <v>-19</v>
      </c>
      <c r="H43" s="5">
        <v>0</v>
      </c>
    </row>
    <row r="44" spans="1:8" x14ac:dyDescent="0.2">
      <c r="A44" t="s">
        <v>9</v>
      </c>
      <c r="B44">
        <v>2010</v>
      </c>
      <c r="C44">
        <v>10</v>
      </c>
      <c r="D44" s="3">
        <v>14.661799999999999</v>
      </c>
      <c r="E44" s="3">
        <v>0.4</v>
      </c>
      <c r="F44">
        <v>0</v>
      </c>
      <c r="G44">
        <v>-7</v>
      </c>
      <c r="H44" s="6">
        <v>0</v>
      </c>
    </row>
    <row r="45" spans="1:8" x14ac:dyDescent="0.2">
      <c r="A45" t="s">
        <v>69</v>
      </c>
      <c r="B45">
        <v>2011</v>
      </c>
      <c r="C45">
        <v>10</v>
      </c>
      <c r="D45" s="3">
        <v>14.654299999999999</v>
      </c>
      <c r="E45" s="3">
        <v>-1.82</v>
      </c>
      <c r="F45">
        <v>2</v>
      </c>
      <c r="G45">
        <v>20</v>
      </c>
      <c r="H45" s="6">
        <f>(21/2)</f>
        <v>10.5</v>
      </c>
    </row>
    <row r="46" spans="1:8" x14ac:dyDescent="0.2">
      <c r="A46" t="s">
        <v>10</v>
      </c>
      <c r="B46">
        <v>2011</v>
      </c>
      <c r="C46">
        <v>10</v>
      </c>
      <c r="D46" s="3">
        <v>14.476100000000001</v>
      </c>
      <c r="E46" s="3">
        <v>8.73</v>
      </c>
      <c r="F46">
        <v>0</v>
      </c>
      <c r="G46">
        <v>-2</v>
      </c>
      <c r="H46" s="6">
        <v>0</v>
      </c>
    </row>
    <row r="47" spans="1:8" x14ac:dyDescent="0.2">
      <c r="A47" t="s">
        <v>77</v>
      </c>
      <c r="B47">
        <v>2012</v>
      </c>
      <c r="C47">
        <v>10</v>
      </c>
      <c r="D47" s="3">
        <v>14.4543</v>
      </c>
      <c r="E47" s="3">
        <v>4.75</v>
      </c>
      <c r="F47">
        <v>0</v>
      </c>
      <c r="G47">
        <v>-23</v>
      </c>
      <c r="H47" s="6">
        <v>0</v>
      </c>
    </row>
    <row r="48" spans="1:8" x14ac:dyDescent="0.2">
      <c r="A48" s="2" t="s">
        <v>38</v>
      </c>
      <c r="B48" s="2">
        <v>2018</v>
      </c>
      <c r="C48" s="2">
        <v>10</v>
      </c>
      <c r="D48" s="7">
        <v>14.42</v>
      </c>
      <c r="E48" s="7">
        <v>2.2400000000000002</v>
      </c>
      <c r="F48">
        <v>0</v>
      </c>
      <c r="G48" s="2">
        <v>-5</v>
      </c>
      <c r="H48" s="6">
        <v>0</v>
      </c>
    </row>
    <row r="49" spans="1:8" x14ac:dyDescent="0.2">
      <c r="A49" s="2" t="s">
        <v>18</v>
      </c>
      <c r="B49" s="2">
        <v>2017</v>
      </c>
      <c r="C49" s="2">
        <v>10</v>
      </c>
      <c r="D49" s="7">
        <v>14.31</v>
      </c>
      <c r="E49" s="2">
        <v>1.1299999999999999</v>
      </c>
      <c r="F49" s="2">
        <v>0</v>
      </c>
      <c r="G49" s="2">
        <v>-8</v>
      </c>
      <c r="H49" s="5">
        <v>0</v>
      </c>
    </row>
    <row r="50" spans="1:8" x14ac:dyDescent="0.2">
      <c r="A50" s="2" t="s">
        <v>38</v>
      </c>
      <c r="B50">
        <v>2013</v>
      </c>
      <c r="C50">
        <v>10</v>
      </c>
      <c r="D50" s="7">
        <v>14.280099999999999</v>
      </c>
      <c r="E50" s="3">
        <v>3.31</v>
      </c>
      <c r="F50">
        <v>0</v>
      </c>
      <c r="G50">
        <v>-15</v>
      </c>
      <c r="H50" s="6">
        <v>0</v>
      </c>
    </row>
    <row r="51" spans="1:8" x14ac:dyDescent="0.2">
      <c r="A51" t="s">
        <v>13</v>
      </c>
      <c r="B51">
        <v>2009</v>
      </c>
      <c r="C51">
        <v>10</v>
      </c>
      <c r="D51" s="3">
        <v>14.2285</v>
      </c>
      <c r="E51" s="3">
        <v>3.13</v>
      </c>
      <c r="F51">
        <v>1</v>
      </c>
      <c r="G51">
        <v>-7</v>
      </c>
      <c r="H51" s="6">
        <v>3</v>
      </c>
    </row>
    <row r="52" spans="1:8" x14ac:dyDescent="0.2">
      <c r="A52" t="s">
        <v>226</v>
      </c>
      <c r="B52">
        <v>2011</v>
      </c>
      <c r="C52">
        <v>10</v>
      </c>
      <c r="D52" s="3">
        <v>14.099</v>
      </c>
      <c r="E52" s="3">
        <v>3.6</v>
      </c>
      <c r="F52">
        <v>0</v>
      </c>
      <c r="G52">
        <v>-2</v>
      </c>
      <c r="H52" s="6">
        <v>0</v>
      </c>
    </row>
    <row r="53" spans="1:8" x14ac:dyDescent="0.2">
      <c r="A53" t="s">
        <v>25</v>
      </c>
      <c r="B53">
        <v>2005</v>
      </c>
      <c r="C53">
        <v>10</v>
      </c>
      <c r="D53" s="3">
        <v>14.0624</v>
      </c>
      <c r="E53" s="3">
        <v>0.15</v>
      </c>
      <c r="F53">
        <v>0</v>
      </c>
      <c r="G53">
        <v>-2</v>
      </c>
      <c r="H53" s="6">
        <v>0</v>
      </c>
    </row>
    <row r="54" spans="1:8" x14ac:dyDescent="0.2">
      <c r="A54" s="2" t="s">
        <v>2</v>
      </c>
      <c r="B54" s="4">
        <v>2015</v>
      </c>
      <c r="C54" s="2">
        <v>10</v>
      </c>
      <c r="D54" s="7">
        <v>13.779199999999999</v>
      </c>
      <c r="E54" s="7">
        <v>-1.1100000000000001</v>
      </c>
      <c r="F54" s="2">
        <v>0</v>
      </c>
      <c r="G54" s="2">
        <v>-5</v>
      </c>
      <c r="H54" s="5">
        <v>0</v>
      </c>
    </row>
    <row r="55" spans="1:8" x14ac:dyDescent="0.2">
      <c r="A55" t="s">
        <v>303</v>
      </c>
      <c r="B55">
        <v>2009</v>
      </c>
      <c r="C55">
        <v>10</v>
      </c>
      <c r="D55" s="3">
        <v>12.982799999999999</v>
      </c>
      <c r="E55" s="3">
        <v>1.18</v>
      </c>
      <c r="F55">
        <v>1</v>
      </c>
      <c r="G55">
        <v>-6</v>
      </c>
      <c r="H55" s="6">
        <v>13</v>
      </c>
    </row>
    <row r="56" spans="1:8" x14ac:dyDescent="0.2">
      <c r="A56" t="s">
        <v>1077</v>
      </c>
      <c r="B56">
        <v>2002</v>
      </c>
      <c r="C56">
        <v>10</v>
      </c>
      <c r="D56" s="3">
        <v>12.710699999999999</v>
      </c>
      <c r="E56" s="3">
        <v>10.14</v>
      </c>
      <c r="F56">
        <v>0</v>
      </c>
      <c r="G56">
        <v>-9</v>
      </c>
      <c r="H56" s="6">
        <v>0</v>
      </c>
    </row>
    <row r="57" spans="1:8" x14ac:dyDescent="0.2">
      <c r="A57" t="s">
        <v>826</v>
      </c>
      <c r="B57">
        <v>2003</v>
      </c>
      <c r="C57">
        <v>10</v>
      </c>
      <c r="D57" s="3">
        <v>12.6433</v>
      </c>
      <c r="E57" s="3">
        <v>-0.42</v>
      </c>
      <c r="F57">
        <v>2</v>
      </c>
      <c r="G57">
        <v>7</v>
      </c>
      <c r="H57" s="6">
        <f>(8/2)</f>
        <v>4</v>
      </c>
    </row>
    <row r="58" spans="1:8" x14ac:dyDescent="0.2">
      <c r="A58" s="2" t="s">
        <v>465</v>
      </c>
      <c r="B58" s="2">
        <v>2014</v>
      </c>
      <c r="C58" s="2">
        <v>10</v>
      </c>
      <c r="D58" s="7">
        <v>12.5152</v>
      </c>
      <c r="E58" s="7">
        <v>1.58</v>
      </c>
      <c r="F58" s="2">
        <v>0</v>
      </c>
      <c r="G58" s="2">
        <v>-8</v>
      </c>
      <c r="H58" s="5">
        <v>0</v>
      </c>
    </row>
    <row r="59" spans="1:8" x14ac:dyDescent="0.2">
      <c r="A59" t="s">
        <v>464</v>
      </c>
      <c r="B59">
        <v>2008</v>
      </c>
      <c r="C59">
        <v>10</v>
      </c>
      <c r="D59" s="3">
        <v>12.3042</v>
      </c>
      <c r="E59" s="3">
        <v>2.42</v>
      </c>
      <c r="F59">
        <v>0</v>
      </c>
      <c r="G59">
        <v>-20</v>
      </c>
      <c r="H59" s="6">
        <v>0</v>
      </c>
    </row>
    <row r="60" spans="1:8" x14ac:dyDescent="0.2">
      <c r="A60" s="2" t="s">
        <v>754</v>
      </c>
      <c r="B60" s="2">
        <v>2018</v>
      </c>
      <c r="C60" s="2">
        <v>10</v>
      </c>
      <c r="D60" s="7">
        <v>11.92</v>
      </c>
      <c r="E60" s="7">
        <v>-1.02</v>
      </c>
      <c r="F60">
        <v>0</v>
      </c>
      <c r="G60" s="2">
        <v>-4</v>
      </c>
      <c r="H60" s="6">
        <v>0</v>
      </c>
    </row>
    <row r="61" spans="1:8" x14ac:dyDescent="0.2">
      <c r="A61" t="s">
        <v>76</v>
      </c>
      <c r="B61">
        <v>2012</v>
      </c>
      <c r="C61">
        <v>10</v>
      </c>
      <c r="D61" s="3">
        <v>11.652799999999999</v>
      </c>
      <c r="E61" s="3">
        <v>6.4</v>
      </c>
      <c r="F61">
        <v>2</v>
      </c>
      <c r="G61">
        <v>11</v>
      </c>
      <c r="H61" s="6">
        <f>(16/2)</f>
        <v>8</v>
      </c>
    </row>
    <row r="62" spans="1:8" x14ac:dyDescent="0.2">
      <c r="A62" t="s">
        <v>227</v>
      </c>
      <c r="B62">
        <v>2011</v>
      </c>
      <c r="C62">
        <v>10</v>
      </c>
      <c r="D62" s="3">
        <v>11.591100000000001</v>
      </c>
      <c r="E62" s="3">
        <v>1.19</v>
      </c>
      <c r="F62">
        <v>0</v>
      </c>
      <c r="G62">
        <v>-3</v>
      </c>
      <c r="H62" s="6">
        <v>0</v>
      </c>
    </row>
    <row r="63" spans="1:8" x14ac:dyDescent="0.2">
      <c r="A63" t="s">
        <v>1068</v>
      </c>
      <c r="B63">
        <v>2002</v>
      </c>
      <c r="C63">
        <v>10</v>
      </c>
      <c r="D63" s="3">
        <v>11.404299999999999</v>
      </c>
      <c r="E63" s="3">
        <v>-4.8099999999999996</v>
      </c>
      <c r="F63">
        <v>0</v>
      </c>
      <c r="G63">
        <v>-12</v>
      </c>
      <c r="H63" s="6">
        <v>0</v>
      </c>
    </row>
    <row r="64" spans="1:8" x14ac:dyDescent="0.2">
      <c r="A64" t="s">
        <v>539</v>
      </c>
      <c r="B64">
        <v>2007</v>
      </c>
      <c r="C64">
        <v>10</v>
      </c>
      <c r="D64" s="3">
        <v>11.309100000000001</v>
      </c>
      <c r="E64" s="3">
        <v>3.57</v>
      </c>
      <c r="F64">
        <v>0</v>
      </c>
      <c r="G64">
        <v>-9</v>
      </c>
      <c r="H64" s="6">
        <v>0</v>
      </c>
    </row>
    <row r="65" spans="1:8" x14ac:dyDescent="0.2">
      <c r="A65" t="s">
        <v>72</v>
      </c>
      <c r="B65">
        <v>2006</v>
      </c>
      <c r="C65">
        <v>10</v>
      </c>
      <c r="D65" s="3">
        <v>10.7384</v>
      </c>
      <c r="E65" s="3">
        <v>5.51</v>
      </c>
      <c r="F65">
        <v>1</v>
      </c>
      <c r="G65">
        <v>2</v>
      </c>
      <c r="H65" s="6">
        <v>5</v>
      </c>
    </row>
    <row r="66" spans="1:8" x14ac:dyDescent="0.2">
      <c r="A66" t="s">
        <v>385</v>
      </c>
      <c r="B66">
        <v>2004</v>
      </c>
      <c r="C66">
        <v>10</v>
      </c>
      <c r="D66" s="3">
        <v>9.7203999999999997</v>
      </c>
      <c r="E66" s="3">
        <v>0.17</v>
      </c>
      <c r="F66">
        <v>0</v>
      </c>
      <c r="G66">
        <v>-7</v>
      </c>
      <c r="H66" s="6">
        <v>0</v>
      </c>
    </row>
    <row r="67" spans="1:8" x14ac:dyDescent="0.2">
      <c r="A67" t="s">
        <v>41</v>
      </c>
      <c r="B67">
        <v>2005</v>
      </c>
      <c r="C67">
        <v>10</v>
      </c>
      <c r="D67" s="3">
        <v>9.6323000000000008</v>
      </c>
      <c r="E67" s="3">
        <v>0.09</v>
      </c>
      <c r="F67">
        <v>0</v>
      </c>
      <c r="G67">
        <v>-9</v>
      </c>
      <c r="H67" s="6">
        <v>0</v>
      </c>
    </row>
    <row r="68" spans="1:8" x14ac:dyDescent="0.2">
      <c r="A68" t="s">
        <v>617</v>
      </c>
      <c r="B68">
        <v>2006</v>
      </c>
      <c r="C68">
        <v>10</v>
      </c>
      <c r="D68" s="3">
        <v>9.4344000000000001</v>
      </c>
      <c r="E68" s="3">
        <v>1.87</v>
      </c>
      <c r="F68">
        <v>0</v>
      </c>
      <c r="G68">
        <v>-20</v>
      </c>
      <c r="H68" s="6">
        <v>0</v>
      </c>
    </row>
    <row r="69" spans="1:8" x14ac:dyDescent="0.2">
      <c r="A69" s="2" t="s">
        <v>35</v>
      </c>
      <c r="B69" s="2">
        <v>2016</v>
      </c>
      <c r="C69" s="2">
        <v>10</v>
      </c>
      <c r="D69" s="7">
        <v>8.2947000000000006</v>
      </c>
      <c r="E69" s="7">
        <v>4.4400000000000004</v>
      </c>
      <c r="F69" s="2">
        <v>0</v>
      </c>
      <c r="G69" s="2">
        <v>-2</v>
      </c>
      <c r="H69" s="5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1"/>
  <sheetViews>
    <sheetView topLeftCell="A19" workbookViewId="0">
      <selection activeCell="G36" sqref="G36"/>
    </sheetView>
  </sheetViews>
  <sheetFormatPr baseColWidth="10" defaultRowHeight="16" x14ac:dyDescent="0.2"/>
  <cols>
    <col min="1" max="1" width="19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1178</v>
      </c>
      <c r="E1" s="1" t="s">
        <v>1176</v>
      </c>
      <c r="F1" s="1" t="s">
        <v>65</v>
      </c>
      <c r="G1" s="1" t="s">
        <v>91</v>
      </c>
      <c r="H1" s="1" t="s">
        <v>92</v>
      </c>
    </row>
    <row r="2" spans="1:8" x14ac:dyDescent="0.2">
      <c r="A2" s="4" t="s">
        <v>225</v>
      </c>
      <c r="B2" s="4">
        <v>2014</v>
      </c>
      <c r="C2" s="4">
        <v>11</v>
      </c>
      <c r="D2" s="8">
        <v>21.71</v>
      </c>
      <c r="E2" s="8">
        <v>4.08</v>
      </c>
      <c r="F2" s="4">
        <v>2</v>
      </c>
      <c r="G2" s="4">
        <v>37</v>
      </c>
      <c r="H2" s="9">
        <v>19.5</v>
      </c>
    </row>
    <row r="3" spans="1:8" x14ac:dyDescent="0.2">
      <c r="A3" s="4" t="s">
        <v>32</v>
      </c>
      <c r="B3" s="4">
        <v>2016</v>
      </c>
      <c r="C3" s="4">
        <v>11</v>
      </c>
      <c r="D3" s="8">
        <v>21.17</v>
      </c>
      <c r="E3" s="8">
        <v>7.51</v>
      </c>
      <c r="F3" s="4">
        <v>1</v>
      </c>
      <c r="G3" s="4">
        <v>2</v>
      </c>
      <c r="H3" s="9">
        <v>10</v>
      </c>
    </row>
    <row r="4" spans="1:8" x14ac:dyDescent="0.2">
      <c r="A4" s="4" t="s">
        <v>78</v>
      </c>
      <c r="B4" s="4">
        <v>2015</v>
      </c>
      <c r="C4" s="4">
        <v>11</v>
      </c>
      <c r="D4" s="8">
        <v>20.079999999999998</v>
      </c>
      <c r="E4" s="8">
        <v>1.58</v>
      </c>
      <c r="F4" s="4">
        <v>0</v>
      </c>
      <c r="G4" s="4">
        <v>-8</v>
      </c>
      <c r="H4" s="9">
        <v>0</v>
      </c>
    </row>
    <row r="5" spans="1:8" x14ac:dyDescent="0.2">
      <c r="A5" s="4" t="s">
        <v>3</v>
      </c>
      <c r="B5" s="4">
        <v>2016</v>
      </c>
      <c r="C5" s="4">
        <v>11</v>
      </c>
      <c r="D5" s="8">
        <v>19.29</v>
      </c>
      <c r="E5" s="8">
        <v>7.74</v>
      </c>
      <c r="F5" s="4">
        <v>2</v>
      </c>
      <c r="G5" s="4">
        <v>26</v>
      </c>
      <c r="H5" s="9">
        <v>14.5</v>
      </c>
    </row>
    <row r="6" spans="1:8" x14ac:dyDescent="0.2">
      <c r="A6" s="4" t="s">
        <v>40</v>
      </c>
      <c r="B6" s="4">
        <v>2013</v>
      </c>
      <c r="C6" s="4">
        <v>11</v>
      </c>
      <c r="D6" s="8">
        <v>19.11</v>
      </c>
      <c r="E6" s="8">
        <v>4.88</v>
      </c>
      <c r="F6" s="4">
        <v>1</v>
      </c>
      <c r="G6" s="4">
        <v>6</v>
      </c>
      <c r="H6" s="9">
        <v>20</v>
      </c>
    </row>
    <row r="7" spans="1:8" x14ac:dyDescent="0.2">
      <c r="A7" s="4" t="s">
        <v>41</v>
      </c>
      <c r="B7" s="4">
        <v>2013</v>
      </c>
      <c r="C7" s="4">
        <v>11</v>
      </c>
      <c r="D7" s="8">
        <v>18.920000000000002</v>
      </c>
      <c r="E7" s="8">
        <v>1.51</v>
      </c>
      <c r="F7" s="4">
        <v>0</v>
      </c>
      <c r="G7" s="4">
        <v>-2</v>
      </c>
      <c r="H7" s="9">
        <v>0</v>
      </c>
    </row>
    <row r="8" spans="1:8" x14ac:dyDescent="0.2">
      <c r="A8" s="4" t="s">
        <v>16</v>
      </c>
      <c r="B8" s="4">
        <v>2008</v>
      </c>
      <c r="C8" s="4">
        <v>11</v>
      </c>
      <c r="D8" s="8">
        <v>18.510000000000002</v>
      </c>
      <c r="E8" s="8">
        <v>-0.06</v>
      </c>
      <c r="F8" s="4">
        <v>1</v>
      </c>
      <c r="G8" s="4">
        <v>-4</v>
      </c>
      <c r="H8" s="9">
        <v>13</v>
      </c>
    </row>
    <row r="9" spans="1:8" x14ac:dyDescent="0.2">
      <c r="A9" s="4" t="s">
        <v>40</v>
      </c>
      <c r="B9" s="4">
        <v>2010</v>
      </c>
      <c r="C9" s="4">
        <v>11</v>
      </c>
      <c r="D9" s="8">
        <v>18.38</v>
      </c>
      <c r="E9" s="8">
        <v>0.26</v>
      </c>
      <c r="F9" s="4">
        <v>0</v>
      </c>
      <c r="G9" s="4">
        <v>-11</v>
      </c>
      <c r="H9" s="9">
        <v>0</v>
      </c>
    </row>
    <row r="10" spans="1:8" x14ac:dyDescent="0.2">
      <c r="A10" s="4" t="s">
        <v>12</v>
      </c>
      <c r="B10" s="4">
        <v>2011</v>
      </c>
      <c r="C10" s="4">
        <v>11</v>
      </c>
      <c r="D10" s="8">
        <v>17.66</v>
      </c>
      <c r="E10" s="8">
        <v>-2.5299999999999998</v>
      </c>
      <c r="F10" s="4">
        <v>2</v>
      </c>
      <c r="G10" s="4">
        <v>-3</v>
      </c>
      <c r="H10" s="9">
        <v>7.5</v>
      </c>
    </row>
    <row r="11" spans="1:8" x14ac:dyDescent="0.2">
      <c r="A11" s="2" t="s">
        <v>16</v>
      </c>
      <c r="B11" s="2">
        <v>2017</v>
      </c>
      <c r="C11" s="2">
        <v>11</v>
      </c>
      <c r="D11" s="7">
        <v>17.55</v>
      </c>
      <c r="E11" s="2">
        <v>-4.88</v>
      </c>
      <c r="F11" s="2">
        <v>0</v>
      </c>
      <c r="G11" s="2">
        <v>-14</v>
      </c>
      <c r="H11" s="5">
        <v>0</v>
      </c>
    </row>
    <row r="12" spans="1:8" x14ac:dyDescent="0.2">
      <c r="A12" s="4" t="s">
        <v>221</v>
      </c>
      <c r="B12" s="4">
        <v>2010</v>
      </c>
      <c r="C12" s="4">
        <v>11</v>
      </c>
      <c r="D12" s="8">
        <v>17.46</v>
      </c>
      <c r="E12" s="8">
        <v>5.1100000000000003</v>
      </c>
      <c r="F12" s="4">
        <v>2</v>
      </c>
      <c r="G12" s="4">
        <v>7</v>
      </c>
      <c r="H12" s="9">
        <v>10</v>
      </c>
    </row>
    <row r="13" spans="1:8" x14ac:dyDescent="0.2">
      <c r="A13" s="4" t="s">
        <v>224</v>
      </c>
      <c r="B13" s="4">
        <v>2010</v>
      </c>
      <c r="C13" s="4">
        <v>11</v>
      </c>
      <c r="D13" s="8">
        <v>17.239999999999998</v>
      </c>
      <c r="E13" s="8">
        <v>6.68</v>
      </c>
      <c r="F13" s="4">
        <v>1</v>
      </c>
      <c r="G13" s="4">
        <v>-7</v>
      </c>
      <c r="H13" s="9">
        <v>1</v>
      </c>
    </row>
    <row r="14" spans="1:8" x14ac:dyDescent="0.2">
      <c r="A14" s="4" t="s">
        <v>757</v>
      </c>
      <c r="B14" s="4">
        <v>2004</v>
      </c>
      <c r="C14" s="4">
        <v>11</v>
      </c>
      <c r="D14" s="8">
        <v>16.95</v>
      </c>
      <c r="E14" s="8">
        <v>-0.92</v>
      </c>
      <c r="F14" s="4">
        <v>0</v>
      </c>
      <c r="G14" s="4">
        <v>-13</v>
      </c>
      <c r="H14" s="9">
        <v>0</v>
      </c>
    </row>
    <row r="15" spans="1:8" x14ac:dyDescent="0.2">
      <c r="A15" s="4" t="s">
        <v>143</v>
      </c>
      <c r="B15" s="4">
        <v>2010</v>
      </c>
      <c r="C15" s="4">
        <v>11</v>
      </c>
      <c r="D15" s="8">
        <v>16.829999999999998</v>
      </c>
      <c r="E15" s="8">
        <v>1.07</v>
      </c>
      <c r="F15" s="4">
        <v>0</v>
      </c>
      <c r="G15" s="4">
        <v>-3</v>
      </c>
      <c r="H15" s="9">
        <v>0</v>
      </c>
    </row>
    <row r="16" spans="1:8" x14ac:dyDescent="0.2">
      <c r="A16" s="4" t="s">
        <v>78</v>
      </c>
      <c r="B16" s="4">
        <v>2012</v>
      </c>
      <c r="C16" s="4">
        <v>11</v>
      </c>
      <c r="D16" s="8">
        <v>16.48</v>
      </c>
      <c r="E16" s="8">
        <v>2.11</v>
      </c>
      <c r="F16" s="4">
        <v>0</v>
      </c>
      <c r="G16" s="4">
        <v>-6</v>
      </c>
      <c r="H16" s="9">
        <v>0</v>
      </c>
    </row>
    <row r="17" spans="1:8" x14ac:dyDescent="0.2">
      <c r="A17" s="4" t="s">
        <v>223</v>
      </c>
      <c r="B17" s="4">
        <v>2006</v>
      </c>
      <c r="C17" s="4">
        <v>11</v>
      </c>
      <c r="D17" s="8">
        <v>16.239999999999998</v>
      </c>
      <c r="E17" s="8">
        <v>1.99</v>
      </c>
      <c r="F17" s="4">
        <v>4</v>
      </c>
      <c r="G17" s="4">
        <v>10</v>
      </c>
      <c r="H17" s="9">
        <v>6.3</v>
      </c>
    </row>
    <row r="18" spans="1:8" x14ac:dyDescent="0.2">
      <c r="A18" s="4" t="s">
        <v>33</v>
      </c>
      <c r="B18" s="4">
        <v>2011</v>
      </c>
      <c r="C18" s="4">
        <v>11</v>
      </c>
      <c r="D18" s="8">
        <v>16.21</v>
      </c>
      <c r="E18" s="8">
        <v>-1.65</v>
      </c>
      <c r="F18" s="4">
        <v>0</v>
      </c>
      <c r="G18" s="4">
        <v>-15</v>
      </c>
      <c r="H18" s="9">
        <v>0</v>
      </c>
    </row>
    <row r="19" spans="1:8" x14ac:dyDescent="0.2">
      <c r="A19" s="4" t="s">
        <v>3</v>
      </c>
      <c r="B19" s="4">
        <v>2011</v>
      </c>
      <c r="C19" s="4">
        <v>11</v>
      </c>
      <c r="D19" s="8">
        <v>16.149999999999999</v>
      </c>
      <c r="E19" s="8">
        <v>6.26</v>
      </c>
      <c r="F19" s="4">
        <v>1</v>
      </c>
      <c r="G19" s="4">
        <v>-7</v>
      </c>
      <c r="H19" s="9">
        <v>15</v>
      </c>
    </row>
    <row r="20" spans="1:8" x14ac:dyDescent="0.2">
      <c r="A20" s="4" t="s">
        <v>620</v>
      </c>
      <c r="B20" s="4">
        <v>2004</v>
      </c>
      <c r="C20" s="4">
        <v>11</v>
      </c>
      <c r="D20" s="8">
        <v>15.95</v>
      </c>
      <c r="E20" s="8">
        <v>-10.33</v>
      </c>
      <c r="F20" s="4">
        <v>0</v>
      </c>
      <c r="G20" s="4">
        <v>-11</v>
      </c>
      <c r="H20" s="9">
        <v>0</v>
      </c>
    </row>
    <row r="21" spans="1:8" x14ac:dyDescent="0.2">
      <c r="A21" s="4" t="s">
        <v>42</v>
      </c>
      <c r="B21" s="4">
        <v>2013</v>
      </c>
      <c r="C21" s="4">
        <v>11</v>
      </c>
      <c r="D21" s="8">
        <v>15.76</v>
      </c>
      <c r="E21" s="8">
        <v>5.37</v>
      </c>
      <c r="F21" s="4">
        <v>0</v>
      </c>
      <c r="G21" s="4">
        <v>-17</v>
      </c>
      <c r="H21" s="9">
        <v>0</v>
      </c>
    </row>
    <row r="22" spans="1:8" x14ac:dyDescent="0.2">
      <c r="A22" s="2" t="s">
        <v>1181</v>
      </c>
      <c r="B22" s="2">
        <v>2017</v>
      </c>
      <c r="C22" s="2">
        <v>11</v>
      </c>
      <c r="D22" s="7">
        <v>15.62</v>
      </c>
      <c r="E22" s="2">
        <v>2.0499999999999998</v>
      </c>
      <c r="F22" s="2">
        <v>1</v>
      </c>
      <c r="G22" s="2">
        <v>9</v>
      </c>
      <c r="H22" s="5">
        <f>12/1</f>
        <v>12</v>
      </c>
    </row>
    <row r="23" spans="1:8" x14ac:dyDescent="0.2">
      <c r="A23" s="2" t="s">
        <v>76</v>
      </c>
      <c r="B23" s="2">
        <v>2017</v>
      </c>
      <c r="C23" s="2">
        <v>11</v>
      </c>
      <c r="D23" s="7">
        <v>15.32</v>
      </c>
      <c r="E23" s="2">
        <v>5.82</v>
      </c>
      <c r="F23" s="2">
        <v>3</v>
      </c>
      <c r="G23" s="2">
        <v>14</v>
      </c>
      <c r="H23" s="5">
        <f>38/3</f>
        <v>12.666666666666666</v>
      </c>
    </row>
    <row r="24" spans="1:8" x14ac:dyDescent="0.2">
      <c r="A24" s="2" t="s">
        <v>1255</v>
      </c>
      <c r="B24" s="2">
        <v>2018</v>
      </c>
      <c r="C24" s="2">
        <v>11</v>
      </c>
      <c r="D24" s="7">
        <v>15.14</v>
      </c>
      <c r="E24" s="7">
        <v>-5.63</v>
      </c>
      <c r="F24" s="2"/>
      <c r="G24" s="2"/>
      <c r="H24" s="10"/>
    </row>
    <row r="25" spans="1:8" x14ac:dyDescent="0.2">
      <c r="A25" s="4" t="s">
        <v>228</v>
      </c>
      <c r="B25" s="4">
        <v>2009</v>
      </c>
      <c r="C25" s="4">
        <v>11</v>
      </c>
      <c r="D25" s="8">
        <v>15.06</v>
      </c>
      <c r="E25" s="8">
        <v>-1.77</v>
      </c>
      <c r="F25" s="4">
        <v>0</v>
      </c>
      <c r="G25" s="4">
        <v>-1</v>
      </c>
      <c r="H25" s="9">
        <v>0</v>
      </c>
    </row>
    <row r="26" spans="1:8" x14ac:dyDescent="0.2">
      <c r="A26" s="4" t="s">
        <v>68</v>
      </c>
      <c r="B26" s="4">
        <v>2008</v>
      </c>
      <c r="C26" s="4">
        <v>11</v>
      </c>
      <c r="D26" s="8">
        <v>15.05</v>
      </c>
      <c r="E26" s="8">
        <v>-2.82</v>
      </c>
      <c r="F26" s="4">
        <v>0</v>
      </c>
      <c r="G26" s="4">
        <v>-11</v>
      </c>
      <c r="H26" s="9">
        <v>0</v>
      </c>
    </row>
    <row r="27" spans="1:8" x14ac:dyDescent="0.2">
      <c r="A27" s="4" t="s">
        <v>230</v>
      </c>
      <c r="B27" s="4">
        <v>2004</v>
      </c>
      <c r="C27" s="4">
        <v>11</v>
      </c>
      <c r="D27" s="8">
        <v>14.82</v>
      </c>
      <c r="E27" s="8">
        <v>6.75</v>
      </c>
      <c r="F27" s="4">
        <v>0</v>
      </c>
      <c r="G27" s="4">
        <v>-12</v>
      </c>
      <c r="H27" s="9">
        <v>0</v>
      </c>
    </row>
    <row r="28" spans="1:8" x14ac:dyDescent="0.2">
      <c r="A28" s="4" t="s">
        <v>754</v>
      </c>
      <c r="B28" s="4">
        <v>2014</v>
      </c>
      <c r="C28" s="4">
        <v>11</v>
      </c>
      <c r="D28" s="8">
        <v>14.69</v>
      </c>
      <c r="E28" s="8">
        <v>3.13</v>
      </c>
      <c r="F28" s="4">
        <v>0</v>
      </c>
      <c r="G28" s="4">
        <v>-2</v>
      </c>
      <c r="H28" s="9">
        <v>0</v>
      </c>
    </row>
    <row r="29" spans="1:8" x14ac:dyDescent="0.2">
      <c r="A29" s="4" t="s">
        <v>380</v>
      </c>
      <c r="B29" s="4">
        <v>2004</v>
      </c>
      <c r="C29" s="4">
        <v>11</v>
      </c>
      <c r="D29" s="8">
        <v>14.66</v>
      </c>
      <c r="E29" s="8">
        <v>0.91</v>
      </c>
      <c r="F29" s="4">
        <v>0</v>
      </c>
      <c r="G29" s="4">
        <v>-7</v>
      </c>
      <c r="H29" s="9">
        <v>0</v>
      </c>
    </row>
    <row r="30" spans="1:8" x14ac:dyDescent="0.2">
      <c r="A30" s="4" t="s">
        <v>13</v>
      </c>
      <c r="B30" s="4">
        <v>2016</v>
      </c>
      <c r="C30" s="4">
        <v>11</v>
      </c>
      <c r="D30" s="8">
        <v>14.56</v>
      </c>
      <c r="E30" s="8">
        <v>0.28999999999999998</v>
      </c>
      <c r="F30" s="4">
        <v>0</v>
      </c>
      <c r="G30" s="4">
        <v>-7</v>
      </c>
      <c r="H30" s="9">
        <v>0</v>
      </c>
    </row>
    <row r="31" spans="1:8" x14ac:dyDescent="0.2">
      <c r="A31" s="4" t="s">
        <v>47</v>
      </c>
      <c r="B31" s="4">
        <v>2015</v>
      </c>
      <c r="C31" s="4">
        <v>11</v>
      </c>
      <c r="D31" s="8">
        <v>14.44</v>
      </c>
      <c r="E31" s="8">
        <v>1.1299999999999999</v>
      </c>
      <c r="F31" s="4">
        <v>0</v>
      </c>
      <c r="G31" s="4">
        <v>-19</v>
      </c>
      <c r="H31" s="9">
        <v>0</v>
      </c>
    </row>
    <row r="32" spans="1:8" x14ac:dyDescent="0.2">
      <c r="A32" s="4" t="s">
        <v>552</v>
      </c>
      <c r="B32" s="4">
        <v>2006</v>
      </c>
      <c r="C32" s="4">
        <v>11</v>
      </c>
      <c r="D32" s="8">
        <v>14.38</v>
      </c>
      <c r="E32" s="8">
        <v>0.63</v>
      </c>
      <c r="F32" s="4">
        <v>0</v>
      </c>
      <c r="G32" s="4">
        <v>-18</v>
      </c>
      <c r="H32" s="9">
        <v>0</v>
      </c>
    </row>
    <row r="33" spans="1:8" x14ac:dyDescent="0.2">
      <c r="A33" s="4" t="s">
        <v>468</v>
      </c>
      <c r="B33" s="4">
        <v>2007</v>
      </c>
      <c r="C33" s="4">
        <v>11</v>
      </c>
      <c r="D33" s="8">
        <v>14.26</v>
      </c>
      <c r="E33" s="8">
        <v>10.33</v>
      </c>
      <c r="F33" s="4">
        <v>1</v>
      </c>
      <c r="G33" s="4">
        <v>5</v>
      </c>
      <c r="H33" s="9">
        <v>10</v>
      </c>
    </row>
    <row r="34" spans="1:8" x14ac:dyDescent="0.2">
      <c r="A34" s="4" t="s">
        <v>465</v>
      </c>
      <c r="B34" s="4">
        <v>2008</v>
      </c>
      <c r="C34" s="4">
        <v>11</v>
      </c>
      <c r="D34" s="8">
        <v>14.26</v>
      </c>
      <c r="E34" s="8">
        <v>0.44</v>
      </c>
      <c r="F34" s="4">
        <v>0</v>
      </c>
      <c r="G34" s="4">
        <v>-8</v>
      </c>
      <c r="H34" s="9">
        <v>0</v>
      </c>
    </row>
    <row r="35" spans="1:8" x14ac:dyDescent="0.2">
      <c r="A35" s="4" t="s">
        <v>24</v>
      </c>
      <c r="B35" s="4">
        <v>2015</v>
      </c>
      <c r="C35" s="4">
        <v>11</v>
      </c>
      <c r="D35" s="8">
        <v>14.17</v>
      </c>
      <c r="E35" s="8">
        <v>5.69</v>
      </c>
      <c r="F35" s="4">
        <v>2</v>
      </c>
      <c r="G35" s="4">
        <v>6</v>
      </c>
      <c r="H35" s="9">
        <v>9</v>
      </c>
    </row>
    <row r="36" spans="1:8" x14ac:dyDescent="0.2">
      <c r="A36" s="2" t="s">
        <v>143</v>
      </c>
      <c r="B36" s="2">
        <v>2018</v>
      </c>
      <c r="C36" s="2">
        <v>11</v>
      </c>
      <c r="D36" s="7">
        <v>14.15</v>
      </c>
      <c r="E36" s="7">
        <v>-0.17</v>
      </c>
      <c r="F36" s="4">
        <v>0</v>
      </c>
      <c r="G36" s="4">
        <v>-2</v>
      </c>
      <c r="H36" s="9">
        <v>0</v>
      </c>
    </row>
    <row r="37" spans="1:8" x14ac:dyDescent="0.2">
      <c r="A37" s="4" t="s">
        <v>385</v>
      </c>
      <c r="B37" s="4">
        <v>2015</v>
      </c>
      <c r="C37" s="4">
        <v>11</v>
      </c>
      <c r="D37" s="8">
        <v>14.14</v>
      </c>
      <c r="E37" s="8">
        <v>2.57</v>
      </c>
      <c r="F37" s="4">
        <v>1</v>
      </c>
      <c r="G37" s="4">
        <v>7</v>
      </c>
      <c r="H37" s="9">
        <v>13</v>
      </c>
    </row>
    <row r="38" spans="1:8" x14ac:dyDescent="0.2">
      <c r="A38" s="4" t="s">
        <v>35</v>
      </c>
      <c r="B38" s="4">
        <v>2009</v>
      </c>
      <c r="C38" s="4">
        <v>11</v>
      </c>
      <c r="D38" s="8">
        <v>14.02</v>
      </c>
      <c r="E38" s="8">
        <v>4.9400000000000004</v>
      </c>
      <c r="F38" s="4">
        <v>0</v>
      </c>
      <c r="G38" s="4">
        <v>-9</v>
      </c>
      <c r="H38" s="9">
        <v>0</v>
      </c>
    </row>
    <row r="39" spans="1:8" x14ac:dyDescent="0.2">
      <c r="A39" s="4" t="s">
        <v>18</v>
      </c>
      <c r="B39" s="4">
        <v>2007</v>
      </c>
      <c r="C39" s="4">
        <v>11</v>
      </c>
      <c r="D39" s="8">
        <v>13.91</v>
      </c>
      <c r="E39" s="8">
        <v>0.93</v>
      </c>
      <c r="F39" s="4">
        <v>1</v>
      </c>
      <c r="G39" s="4">
        <v>-12</v>
      </c>
      <c r="H39" s="9">
        <v>2</v>
      </c>
    </row>
    <row r="40" spans="1:8" x14ac:dyDescent="0.2">
      <c r="A40" s="2" t="s">
        <v>14</v>
      </c>
      <c r="B40" s="2">
        <v>2018</v>
      </c>
      <c r="C40" s="2">
        <v>11</v>
      </c>
      <c r="D40" s="7">
        <v>13.59</v>
      </c>
      <c r="E40" s="7">
        <v>-0.23</v>
      </c>
      <c r="F40" s="2"/>
      <c r="G40" s="2"/>
      <c r="H40" s="10"/>
    </row>
    <row r="41" spans="1:8" x14ac:dyDescent="0.2">
      <c r="A41" s="4" t="s">
        <v>43</v>
      </c>
      <c r="B41" s="4">
        <v>2013</v>
      </c>
      <c r="C41" s="4">
        <v>11</v>
      </c>
      <c r="D41" s="8">
        <v>13.42</v>
      </c>
      <c r="E41" s="8">
        <v>1.19</v>
      </c>
      <c r="F41" s="4">
        <v>0</v>
      </c>
      <c r="G41" s="4">
        <v>-12</v>
      </c>
      <c r="H41" s="9">
        <v>0</v>
      </c>
    </row>
    <row r="42" spans="1:8" x14ac:dyDescent="0.2">
      <c r="A42" s="4" t="s">
        <v>896</v>
      </c>
      <c r="B42" s="4">
        <v>2014</v>
      </c>
      <c r="C42" s="4">
        <v>11</v>
      </c>
      <c r="D42" s="8">
        <v>13.19</v>
      </c>
      <c r="E42" s="8">
        <v>1.0900000000000001</v>
      </c>
      <c r="F42" s="4">
        <v>0</v>
      </c>
      <c r="G42" s="4">
        <v>-14</v>
      </c>
      <c r="H42" s="9">
        <v>0</v>
      </c>
    </row>
    <row r="43" spans="1:8" x14ac:dyDescent="0.2">
      <c r="A43" s="4" t="s">
        <v>304</v>
      </c>
      <c r="B43" s="4">
        <v>2005</v>
      </c>
      <c r="C43" s="4">
        <v>11</v>
      </c>
      <c r="D43" s="8">
        <v>13.11</v>
      </c>
      <c r="E43" s="8">
        <v>1.54</v>
      </c>
      <c r="F43" s="4">
        <v>0</v>
      </c>
      <c r="G43" s="4">
        <v>-5</v>
      </c>
      <c r="H43" s="9">
        <v>0</v>
      </c>
    </row>
    <row r="44" spans="1:8" x14ac:dyDescent="0.2">
      <c r="A44" s="4" t="s">
        <v>31</v>
      </c>
      <c r="B44" s="4">
        <v>2012</v>
      </c>
      <c r="C44" s="4">
        <v>11</v>
      </c>
      <c r="D44" s="8">
        <v>13.11</v>
      </c>
      <c r="E44" s="8">
        <v>4.82</v>
      </c>
      <c r="F44" s="4">
        <v>2</v>
      </c>
      <c r="G44" s="4">
        <v>14</v>
      </c>
      <c r="H44" s="9">
        <v>8.5</v>
      </c>
    </row>
    <row r="45" spans="1:8" x14ac:dyDescent="0.2">
      <c r="A45" s="4" t="s">
        <v>385</v>
      </c>
      <c r="B45" s="4">
        <v>2014</v>
      </c>
      <c r="C45" s="4">
        <v>11</v>
      </c>
      <c r="D45" s="8">
        <v>12.94</v>
      </c>
      <c r="E45" s="8">
        <v>1.74</v>
      </c>
      <c r="F45" s="4">
        <v>3</v>
      </c>
      <c r="G45" s="4">
        <v>3</v>
      </c>
      <c r="H45" s="9">
        <v>4.3</v>
      </c>
    </row>
    <row r="46" spans="1:8" x14ac:dyDescent="0.2">
      <c r="A46" s="4" t="s">
        <v>143</v>
      </c>
      <c r="B46" s="4">
        <v>2006</v>
      </c>
      <c r="C46" s="4">
        <v>11</v>
      </c>
      <c r="D46" s="8">
        <v>12.72</v>
      </c>
      <c r="E46" s="8">
        <v>-0.26</v>
      </c>
      <c r="F46" s="4">
        <v>0</v>
      </c>
      <c r="G46" s="4">
        <v>-4</v>
      </c>
      <c r="H46" s="9">
        <v>0</v>
      </c>
    </row>
    <row r="47" spans="1:8" x14ac:dyDescent="0.2">
      <c r="A47" s="4" t="s">
        <v>18</v>
      </c>
      <c r="B47" s="4">
        <v>2009</v>
      </c>
      <c r="C47" s="4">
        <v>11</v>
      </c>
      <c r="D47" s="8">
        <v>12.4</v>
      </c>
      <c r="E47" s="8">
        <v>3.41</v>
      </c>
      <c r="F47" s="4">
        <v>0</v>
      </c>
      <c r="G47" s="4">
        <v>-1</v>
      </c>
      <c r="H47" s="9">
        <v>0</v>
      </c>
    </row>
    <row r="48" spans="1:8" x14ac:dyDescent="0.2">
      <c r="A48" s="2" t="s">
        <v>384</v>
      </c>
      <c r="B48" s="2">
        <v>2017</v>
      </c>
      <c r="C48" s="2">
        <v>11</v>
      </c>
      <c r="D48" s="7">
        <v>12.34</v>
      </c>
      <c r="E48" s="2">
        <v>-3.12</v>
      </c>
      <c r="F48" s="2">
        <v>1</v>
      </c>
      <c r="G48" s="2">
        <v>-3</v>
      </c>
      <c r="H48" s="5">
        <f>1/1</f>
        <v>1</v>
      </c>
    </row>
    <row r="49" spans="1:8" x14ac:dyDescent="0.2">
      <c r="A49" s="4" t="s">
        <v>616</v>
      </c>
      <c r="B49" s="4">
        <v>2005</v>
      </c>
      <c r="C49" s="4">
        <v>11</v>
      </c>
      <c r="D49" s="8">
        <v>12.1</v>
      </c>
      <c r="E49" s="8">
        <v>2.2400000000000002</v>
      </c>
      <c r="F49" s="4">
        <v>1</v>
      </c>
      <c r="G49" s="4">
        <v>2</v>
      </c>
      <c r="H49" s="9">
        <v>14</v>
      </c>
    </row>
    <row r="50" spans="1:8" x14ac:dyDescent="0.2">
      <c r="A50" s="4" t="s">
        <v>459</v>
      </c>
      <c r="B50" s="4">
        <v>2007</v>
      </c>
      <c r="C50" s="4">
        <v>11</v>
      </c>
      <c r="D50" s="8">
        <v>12.08</v>
      </c>
      <c r="E50" s="8">
        <v>3.08</v>
      </c>
      <c r="F50" s="4">
        <v>0</v>
      </c>
      <c r="G50" s="4">
        <v>-20</v>
      </c>
      <c r="H50" s="9">
        <v>0</v>
      </c>
    </row>
    <row r="51" spans="1:8" x14ac:dyDescent="0.2">
      <c r="A51" s="4" t="s">
        <v>618</v>
      </c>
      <c r="B51" s="4">
        <v>2006</v>
      </c>
      <c r="C51" s="4">
        <v>11</v>
      </c>
      <c r="D51" s="8">
        <v>11.86</v>
      </c>
      <c r="E51" s="8">
        <v>4.0599999999999996</v>
      </c>
      <c r="F51" s="4">
        <v>1</v>
      </c>
      <c r="G51" s="4">
        <v>-14</v>
      </c>
      <c r="H51" s="9">
        <v>8</v>
      </c>
    </row>
    <row r="52" spans="1:8" x14ac:dyDescent="0.2">
      <c r="A52" s="4" t="s">
        <v>307</v>
      </c>
      <c r="B52" s="4">
        <v>2005</v>
      </c>
      <c r="C52" s="4">
        <v>11</v>
      </c>
      <c r="D52" s="8">
        <v>11.52</v>
      </c>
      <c r="E52" s="8">
        <v>-2.4</v>
      </c>
      <c r="F52" s="4">
        <v>0</v>
      </c>
      <c r="G52" s="4">
        <v>-6</v>
      </c>
      <c r="H52" s="9">
        <v>0</v>
      </c>
    </row>
    <row r="53" spans="1:8" x14ac:dyDescent="0.2">
      <c r="A53" s="4" t="s">
        <v>24</v>
      </c>
      <c r="B53" s="4">
        <v>2005</v>
      </c>
      <c r="C53" s="4">
        <v>11</v>
      </c>
      <c r="D53" s="8">
        <v>11.26</v>
      </c>
      <c r="E53" s="8">
        <v>3.09</v>
      </c>
      <c r="F53" s="4">
        <v>0</v>
      </c>
      <c r="G53" s="4">
        <v>-12</v>
      </c>
      <c r="H53" s="9">
        <v>0</v>
      </c>
    </row>
    <row r="54" spans="1:8" x14ac:dyDescent="0.2">
      <c r="A54" s="2" t="s">
        <v>82</v>
      </c>
      <c r="B54" s="2">
        <v>2018</v>
      </c>
      <c r="C54" s="2">
        <v>11</v>
      </c>
      <c r="D54" s="7">
        <v>11.2</v>
      </c>
      <c r="E54" s="7">
        <v>1.43</v>
      </c>
      <c r="F54" s="4">
        <v>0</v>
      </c>
      <c r="G54" s="4">
        <v>-15</v>
      </c>
      <c r="H54" s="9">
        <v>0</v>
      </c>
    </row>
    <row r="55" spans="1:8" x14ac:dyDescent="0.2">
      <c r="A55" s="4" t="s">
        <v>304</v>
      </c>
      <c r="B55" s="4">
        <v>2016</v>
      </c>
      <c r="C55" s="4">
        <v>11</v>
      </c>
      <c r="D55" s="8">
        <v>10.11</v>
      </c>
      <c r="E55" s="8">
        <v>6.47</v>
      </c>
      <c r="F55" s="4">
        <v>1</v>
      </c>
      <c r="G55" s="4">
        <v>-1</v>
      </c>
      <c r="H55" s="9">
        <v>3</v>
      </c>
    </row>
    <row r="56" spans="1:8" x14ac:dyDescent="0.2">
      <c r="A56" s="4" t="s">
        <v>30</v>
      </c>
      <c r="B56" s="4">
        <v>2012</v>
      </c>
      <c r="C56" s="4">
        <v>11</v>
      </c>
      <c r="D56" s="8">
        <v>9.4700000000000006</v>
      </c>
      <c r="E56" s="8">
        <v>2.2599999999999998</v>
      </c>
      <c r="F56" s="4">
        <v>0</v>
      </c>
      <c r="G56" s="4">
        <v>-17</v>
      </c>
      <c r="H56" s="9">
        <v>0</v>
      </c>
    </row>
    <row r="57" spans="1:8" x14ac:dyDescent="0.2">
      <c r="A57" s="4" t="s">
        <v>66</v>
      </c>
      <c r="B57" s="4">
        <v>2008</v>
      </c>
      <c r="C57" s="4">
        <v>11</v>
      </c>
      <c r="D57" s="8">
        <v>9.42</v>
      </c>
      <c r="E57" s="8">
        <v>0.91</v>
      </c>
      <c r="F57" s="4">
        <v>0</v>
      </c>
      <c r="G57" s="4">
        <v>-8</v>
      </c>
      <c r="H57" s="9">
        <v>0</v>
      </c>
    </row>
    <row r="58" spans="1:8" x14ac:dyDescent="0.2">
      <c r="A58" s="4" t="s">
        <v>385</v>
      </c>
      <c r="B58" s="4">
        <v>2009</v>
      </c>
      <c r="C58" s="4">
        <v>11</v>
      </c>
      <c r="D58" s="8">
        <v>9.2799999999999994</v>
      </c>
      <c r="E58" s="8">
        <v>-1.39</v>
      </c>
      <c r="F58" s="4">
        <v>1</v>
      </c>
      <c r="G58" s="4">
        <v>-9</v>
      </c>
      <c r="H58" s="9">
        <v>8</v>
      </c>
    </row>
    <row r="59" spans="1:8" x14ac:dyDescent="0.2">
      <c r="A59" s="4" t="s">
        <v>18</v>
      </c>
      <c r="B59" s="4">
        <v>2011</v>
      </c>
      <c r="C59" s="4">
        <v>11</v>
      </c>
      <c r="D59" s="8">
        <v>8.6300000000000008</v>
      </c>
      <c r="E59" s="8">
        <v>2.25</v>
      </c>
      <c r="F59" s="4">
        <v>4</v>
      </c>
      <c r="G59" s="4">
        <v>43</v>
      </c>
      <c r="H59" s="9">
        <v>12.8</v>
      </c>
    </row>
    <row r="60" spans="1:8" x14ac:dyDescent="0.2">
      <c r="A60" s="4" t="s">
        <v>540</v>
      </c>
      <c r="B60" s="4">
        <v>2007</v>
      </c>
      <c r="C60" s="4">
        <v>11</v>
      </c>
      <c r="D60" s="8">
        <v>8.43</v>
      </c>
      <c r="E60" s="8">
        <v>-4.18</v>
      </c>
      <c r="F60" s="4">
        <v>0</v>
      </c>
      <c r="G60" s="4">
        <v>-33</v>
      </c>
      <c r="H60" s="9">
        <v>0</v>
      </c>
    </row>
    <row r="61" spans="1:8" x14ac:dyDescent="0.2">
      <c r="A61" s="4" t="s">
        <v>39</v>
      </c>
      <c r="B61" s="4">
        <v>2012</v>
      </c>
      <c r="C61" s="4">
        <v>11</v>
      </c>
      <c r="D61" s="8">
        <v>8.26</v>
      </c>
      <c r="E61" s="8">
        <v>1.8</v>
      </c>
      <c r="F61" s="4">
        <v>1</v>
      </c>
      <c r="G61" s="4">
        <v>-13</v>
      </c>
      <c r="H61" s="9">
        <v>4</v>
      </c>
    </row>
  </sheetData>
  <pageMargins left="0.75" right="0.75" top="1" bottom="1" header="0.5" footer="0.5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69"/>
  <sheetViews>
    <sheetView workbookViewId="0">
      <selection activeCell="G31" sqref="G31"/>
    </sheetView>
  </sheetViews>
  <sheetFormatPr baseColWidth="10" defaultRowHeight="16" x14ac:dyDescent="0.2"/>
  <cols>
    <col min="1" max="1" width="20.5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1178</v>
      </c>
      <c r="E1" s="1" t="s">
        <v>1176</v>
      </c>
      <c r="F1" s="1" t="s">
        <v>65</v>
      </c>
      <c r="G1" s="1" t="s">
        <v>91</v>
      </c>
      <c r="H1" s="1" t="s">
        <v>92</v>
      </c>
    </row>
    <row r="2" spans="1:8" x14ac:dyDescent="0.2">
      <c r="A2" t="s">
        <v>228</v>
      </c>
      <c r="B2">
        <v>2010</v>
      </c>
      <c r="C2">
        <v>12</v>
      </c>
      <c r="D2" s="3">
        <v>20.8872</v>
      </c>
      <c r="E2" s="3">
        <v>1.42</v>
      </c>
      <c r="F2">
        <v>0</v>
      </c>
      <c r="G2">
        <v>-16</v>
      </c>
      <c r="H2" s="6">
        <v>0</v>
      </c>
    </row>
    <row r="3" spans="1:8" x14ac:dyDescent="0.2">
      <c r="A3" t="s">
        <v>228</v>
      </c>
      <c r="B3">
        <v>2011</v>
      </c>
      <c r="C3">
        <v>12</v>
      </c>
      <c r="D3" s="3">
        <v>19.859000000000002</v>
      </c>
      <c r="E3" s="3">
        <v>-0.91</v>
      </c>
      <c r="F3">
        <v>0</v>
      </c>
      <c r="G3">
        <v>-5</v>
      </c>
      <c r="H3" s="6">
        <v>0</v>
      </c>
    </row>
    <row r="4" spans="1:8" x14ac:dyDescent="0.2">
      <c r="A4" t="s">
        <v>83</v>
      </c>
      <c r="B4">
        <v>2003</v>
      </c>
      <c r="C4">
        <v>12</v>
      </c>
      <c r="D4" s="3">
        <v>17.8383</v>
      </c>
      <c r="E4" s="3">
        <v>6.16</v>
      </c>
      <c r="F4">
        <v>0</v>
      </c>
      <c r="G4">
        <v>-5</v>
      </c>
      <c r="H4" s="6">
        <v>0</v>
      </c>
    </row>
    <row r="5" spans="1:8" x14ac:dyDescent="0.2">
      <c r="A5" t="s">
        <v>17</v>
      </c>
      <c r="B5">
        <v>2009</v>
      </c>
      <c r="C5">
        <v>12</v>
      </c>
      <c r="D5" s="3">
        <v>17.584800000000001</v>
      </c>
      <c r="E5" s="3">
        <v>4.1900000000000004</v>
      </c>
      <c r="F5">
        <v>1</v>
      </c>
      <c r="G5">
        <v>-9</v>
      </c>
      <c r="H5" s="6">
        <v>2</v>
      </c>
    </row>
    <row r="6" spans="1:8" x14ac:dyDescent="0.2">
      <c r="A6" s="2" t="s">
        <v>53</v>
      </c>
      <c r="B6" s="2">
        <v>2014</v>
      </c>
      <c r="C6" s="2">
        <v>12</v>
      </c>
      <c r="D6" s="7">
        <v>17.3002</v>
      </c>
      <c r="E6" s="7">
        <v>-0.02</v>
      </c>
      <c r="F6" s="2">
        <v>1</v>
      </c>
      <c r="G6" s="2">
        <v>-3</v>
      </c>
      <c r="H6" s="5">
        <v>4</v>
      </c>
    </row>
    <row r="7" spans="1:8" x14ac:dyDescent="0.2">
      <c r="A7" t="s">
        <v>27</v>
      </c>
      <c r="B7">
        <v>2007</v>
      </c>
      <c r="C7">
        <v>12</v>
      </c>
      <c r="D7" s="3">
        <v>17.2821</v>
      </c>
      <c r="E7" s="3">
        <v>2.9</v>
      </c>
      <c r="F7">
        <v>0</v>
      </c>
      <c r="G7">
        <v>-2</v>
      </c>
      <c r="H7" s="6">
        <v>0</v>
      </c>
    </row>
    <row r="8" spans="1:8" x14ac:dyDescent="0.2">
      <c r="A8" t="s">
        <v>229</v>
      </c>
      <c r="B8">
        <v>2011</v>
      </c>
      <c r="C8">
        <v>12</v>
      </c>
      <c r="D8" s="3">
        <v>17.222799999999999</v>
      </c>
      <c r="E8" s="3">
        <v>0.16</v>
      </c>
      <c r="F8">
        <v>0</v>
      </c>
      <c r="G8">
        <v>-8</v>
      </c>
      <c r="H8" s="6">
        <v>0</v>
      </c>
    </row>
    <row r="9" spans="1:8" x14ac:dyDescent="0.2">
      <c r="A9" t="s">
        <v>307</v>
      </c>
      <c r="B9">
        <v>2010</v>
      </c>
      <c r="C9">
        <v>12</v>
      </c>
      <c r="D9" s="3">
        <v>17.206</v>
      </c>
      <c r="E9" s="3">
        <v>-1.61</v>
      </c>
      <c r="F9">
        <v>0</v>
      </c>
      <c r="G9">
        <v>-18</v>
      </c>
      <c r="H9" s="6">
        <v>0</v>
      </c>
    </row>
    <row r="10" spans="1:8" x14ac:dyDescent="0.2">
      <c r="A10" t="s">
        <v>462</v>
      </c>
      <c r="B10">
        <v>2007</v>
      </c>
      <c r="C10">
        <v>12</v>
      </c>
      <c r="D10" s="3">
        <v>16.556899999999999</v>
      </c>
      <c r="E10" s="3">
        <v>4.17</v>
      </c>
      <c r="F10">
        <v>0</v>
      </c>
      <c r="G10">
        <v>-17</v>
      </c>
      <c r="H10" s="6">
        <v>0</v>
      </c>
    </row>
    <row r="11" spans="1:8" x14ac:dyDescent="0.2">
      <c r="A11" s="2" t="s">
        <v>47</v>
      </c>
      <c r="B11">
        <v>2013</v>
      </c>
      <c r="C11">
        <v>12</v>
      </c>
      <c r="D11" s="7">
        <v>16.5305</v>
      </c>
      <c r="E11" s="3">
        <v>-5.29</v>
      </c>
      <c r="F11">
        <v>1</v>
      </c>
      <c r="G11">
        <v>9</v>
      </c>
      <c r="H11" s="6">
        <v>11</v>
      </c>
    </row>
    <row r="12" spans="1:8" x14ac:dyDescent="0.2">
      <c r="A12" t="s">
        <v>380</v>
      </c>
      <c r="B12">
        <v>2002</v>
      </c>
      <c r="C12">
        <v>12</v>
      </c>
      <c r="D12" s="3">
        <v>16.054200000000002</v>
      </c>
      <c r="E12" s="3">
        <v>3.57</v>
      </c>
      <c r="F12">
        <v>0</v>
      </c>
      <c r="G12">
        <v>-19</v>
      </c>
      <c r="H12" s="6">
        <v>0</v>
      </c>
    </row>
    <row r="13" spans="1:8" x14ac:dyDescent="0.2">
      <c r="A13" t="s">
        <v>83</v>
      </c>
      <c r="B13">
        <v>2004</v>
      </c>
      <c r="C13">
        <v>12</v>
      </c>
      <c r="D13" s="3">
        <v>16.040099999999999</v>
      </c>
      <c r="E13" s="3">
        <v>5.82</v>
      </c>
      <c r="F13">
        <v>0</v>
      </c>
      <c r="G13">
        <v>-5</v>
      </c>
      <c r="H13" s="6">
        <v>0</v>
      </c>
    </row>
    <row r="14" spans="1:8" x14ac:dyDescent="0.2">
      <c r="A14" t="s">
        <v>828</v>
      </c>
      <c r="B14">
        <v>2002</v>
      </c>
      <c r="C14">
        <v>12</v>
      </c>
      <c r="D14" s="3">
        <v>15.779199999999999</v>
      </c>
      <c r="E14" s="3">
        <v>-1.51</v>
      </c>
      <c r="F14">
        <v>1</v>
      </c>
      <c r="G14">
        <v>-3</v>
      </c>
      <c r="H14" s="6">
        <v>2</v>
      </c>
    </row>
    <row r="15" spans="1:8" x14ac:dyDescent="0.2">
      <c r="A15" t="s">
        <v>79</v>
      </c>
      <c r="B15">
        <v>2012</v>
      </c>
      <c r="C15">
        <v>12</v>
      </c>
      <c r="D15" s="3">
        <v>15.6694</v>
      </c>
      <c r="E15" s="3">
        <v>12.17</v>
      </c>
      <c r="F15">
        <v>0</v>
      </c>
      <c r="G15">
        <v>-7</v>
      </c>
      <c r="H15" s="6">
        <v>0</v>
      </c>
    </row>
    <row r="16" spans="1:8" x14ac:dyDescent="0.2">
      <c r="A16" t="s">
        <v>21</v>
      </c>
      <c r="B16">
        <v>2009</v>
      </c>
      <c r="C16">
        <v>12</v>
      </c>
      <c r="D16" s="3">
        <v>15.6313</v>
      </c>
      <c r="E16" s="3">
        <v>5.14</v>
      </c>
      <c r="F16">
        <v>2</v>
      </c>
      <c r="G16">
        <v>-12</v>
      </c>
      <c r="H16" s="6">
        <f>(27/2)</f>
        <v>13.5</v>
      </c>
    </row>
    <row r="17" spans="1:8" x14ac:dyDescent="0.2">
      <c r="A17" t="s">
        <v>222</v>
      </c>
      <c r="B17">
        <v>2006</v>
      </c>
      <c r="C17">
        <v>12</v>
      </c>
      <c r="D17" s="3">
        <v>15.4359</v>
      </c>
      <c r="E17" s="3">
        <v>-6.75</v>
      </c>
      <c r="F17">
        <v>1</v>
      </c>
      <c r="G17">
        <v>7</v>
      </c>
      <c r="H17" s="6">
        <v>8</v>
      </c>
    </row>
    <row r="18" spans="1:8" x14ac:dyDescent="0.2">
      <c r="A18" t="s">
        <v>11</v>
      </c>
      <c r="B18">
        <v>2005</v>
      </c>
      <c r="C18">
        <v>12</v>
      </c>
      <c r="D18" s="3">
        <v>15.286300000000001</v>
      </c>
      <c r="E18" s="3">
        <v>-7.58</v>
      </c>
      <c r="F18">
        <v>0</v>
      </c>
      <c r="G18">
        <v>-8</v>
      </c>
      <c r="H18" s="6">
        <v>0</v>
      </c>
    </row>
    <row r="19" spans="1:8" x14ac:dyDescent="0.2">
      <c r="A19" t="s">
        <v>23</v>
      </c>
      <c r="B19">
        <v>2003</v>
      </c>
      <c r="C19">
        <v>12</v>
      </c>
      <c r="D19" s="3">
        <v>15.0444</v>
      </c>
      <c r="E19" s="3">
        <v>0.28999999999999998</v>
      </c>
      <c r="F19">
        <v>2</v>
      </c>
      <c r="G19">
        <v>-2</v>
      </c>
      <c r="H19" s="6">
        <f>(9/2)</f>
        <v>4.5</v>
      </c>
    </row>
    <row r="20" spans="1:8" x14ac:dyDescent="0.2">
      <c r="A20" s="2" t="s">
        <v>51</v>
      </c>
      <c r="B20" s="2">
        <v>2018</v>
      </c>
      <c r="C20" s="2">
        <v>12</v>
      </c>
      <c r="D20" s="7">
        <v>14.91</v>
      </c>
      <c r="E20" s="7">
        <v>1.71</v>
      </c>
      <c r="F20" s="2">
        <v>0</v>
      </c>
      <c r="G20" s="2">
        <v>-5</v>
      </c>
      <c r="H20" s="6">
        <v>0</v>
      </c>
    </row>
    <row r="21" spans="1:8" x14ac:dyDescent="0.2">
      <c r="A21" t="s">
        <v>230</v>
      </c>
      <c r="B21">
        <v>2011</v>
      </c>
      <c r="C21">
        <v>12</v>
      </c>
      <c r="D21" s="3">
        <v>14.8879</v>
      </c>
      <c r="E21" s="3">
        <v>1.63</v>
      </c>
      <c r="F21">
        <v>2</v>
      </c>
      <c r="G21">
        <v>0</v>
      </c>
      <c r="H21" s="6">
        <f>(20/2)</f>
        <v>10</v>
      </c>
    </row>
    <row r="22" spans="1:8" x14ac:dyDescent="0.2">
      <c r="A22" s="2" t="s">
        <v>44</v>
      </c>
      <c r="B22">
        <v>2013</v>
      </c>
      <c r="C22">
        <v>12</v>
      </c>
      <c r="D22" s="7">
        <v>14.8225</v>
      </c>
      <c r="E22" s="3">
        <v>-3.88</v>
      </c>
      <c r="F22">
        <v>2</v>
      </c>
      <c r="G22">
        <v>22</v>
      </c>
      <c r="H22" s="6">
        <f>(30/2)</f>
        <v>15</v>
      </c>
    </row>
    <row r="23" spans="1:8" x14ac:dyDescent="0.2">
      <c r="A23" t="s">
        <v>53</v>
      </c>
      <c r="B23">
        <v>2012</v>
      </c>
      <c r="C23">
        <v>12</v>
      </c>
      <c r="D23" s="3">
        <v>14.7613</v>
      </c>
      <c r="E23" s="3">
        <v>-1.05</v>
      </c>
      <c r="F23">
        <v>0</v>
      </c>
      <c r="G23">
        <v>-9</v>
      </c>
      <c r="H23" s="6">
        <v>0</v>
      </c>
    </row>
    <row r="24" spans="1:8" x14ac:dyDescent="0.2">
      <c r="A24" s="2" t="s">
        <v>1074</v>
      </c>
      <c r="B24" s="2">
        <v>2017</v>
      </c>
      <c r="C24" s="2">
        <v>12</v>
      </c>
      <c r="D24" s="7">
        <v>14.65</v>
      </c>
      <c r="E24" s="2">
        <v>4.13</v>
      </c>
      <c r="F24" s="2">
        <v>1</v>
      </c>
      <c r="G24" s="2">
        <v>0</v>
      </c>
      <c r="H24" s="5">
        <f>9/1</f>
        <v>9</v>
      </c>
    </row>
    <row r="25" spans="1:8" x14ac:dyDescent="0.2">
      <c r="A25" t="s">
        <v>33</v>
      </c>
      <c r="B25">
        <v>2002</v>
      </c>
      <c r="C25">
        <v>12</v>
      </c>
      <c r="D25" s="3">
        <v>14.510199999999999</v>
      </c>
      <c r="E25" s="3">
        <v>1.29</v>
      </c>
      <c r="F25">
        <v>3</v>
      </c>
      <c r="G25">
        <v>32</v>
      </c>
      <c r="H25" s="6">
        <f>38 / 3</f>
        <v>12.666666666666666</v>
      </c>
    </row>
    <row r="26" spans="1:8" x14ac:dyDescent="0.2">
      <c r="A26" t="s">
        <v>540</v>
      </c>
      <c r="B26">
        <v>2005</v>
      </c>
      <c r="C26">
        <v>12</v>
      </c>
      <c r="D26" s="3">
        <v>14.3872</v>
      </c>
      <c r="E26" s="3">
        <v>0.57999999999999996</v>
      </c>
      <c r="F26">
        <v>0</v>
      </c>
      <c r="G26">
        <v>-12</v>
      </c>
      <c r="H26" s="6">
        <v>0</v>
      </c>
    </row>
    <row r="27" spans="1:8" x14ac:dyDescent="0.2">
      <c r="A27" s="2" t="s">
        <v>390</v>
      </c>
      <c r="B27" s="4">
        <v>2015</v>
      </c>
      <c r="C27" s="2">
        <v>12</v>
      </c>
      <c r="D27" s="7">
        <v>14.0296</v>
      </c>
      <c r="E27" s="7">
        <v>1.1399999999999999</v>
      </c>
      <c r="F27" s="2">
        <v>0</v>
      </c>
      <c r="G27" s="2">
        <v>-7</v>
      </c>
      <c r="H27" s="5">
        <v>0</v>
      </c>
    </row>
    <row r="28" spans="1:8" x14ac:dyDescent="0.2">
      <c r="A28" t="s">
        <v>61</v>
      </c>
      <c r="B28">
        <v>2008</v>
      </c>
      <c r="C28">
        <v>12</v>
      </c>
      <c r="D28" s="3">
        <v>13.8788</v>
      </c>
      <c r="E28" s="3">
        <v>1.46</v>
      </c>
      <c r="F28">
        <v>2</v>
      </c>
      <c r="G28">
        <v>1</v>
      </c>
      <c r="H28" s="6">
        <f>(11/2)</f>
        <v>5.5</v>
      </c>
    </row>
    <row r="29" spans="1:8" x14ac:dyDescent="0.2">
      <c r="A29" s="2" t="s">
        <v>1065</v>
      </c>
      <c r="B29" s="2">
        <v>2016</v>
      </c>
      <c r="C29" s="2">
        <v>12</v>
      </c>
      <c r="D29" s="7">
        <v>13.835100000000001</v>
      </c>
      <c r="E29" s="7">
        <v>-2.34</v>
      </c>
      <c r="F29" s="2">
        <v>1</v>
      </c>
      <c r="G29" s="2">
        <v>-3</v>
      </c>
      <c r="H29" s="5">
        <v>4</v>
      </c>
    </row>
    <row r="30" spans="1:8" x14ac:dyDescent="0.2">
      <c r="A30" s="2" t="s">
        <v>46</v>
      </c>
      <c r="B30">
        <v>2013</v>
      </c>
      <c r="C30">
        <v>12</v>
      </c>
      <c r="D30" s="7">
        <v>13.7523</v>
      </c>
      <c r="E30" s="3">
        <v>2.2200000000000002</v>
      </c>
      <c r="F30">
        <v>0</v>
      </c>
      <c r="G30">
        <v>-46</v>
      </c>
      <c r="H30" s="6">
        <v>0</v>
      </c>
    </row>
    <row r="31" spans="1:8" x14ac:dyDescent="0.2">
      <c r="A31" s="2" t="s">
        <v>49</v>
      </c>
      <c r="B31" s="2">
        <v>2018</v>
      </c>
      <c r="C31" s="2">
        <v>12</v>
      </c>
      <c r="D31" s="7">
        <v>13.56</v>
      </c>
      <c r="E31" s="7">
        <v>4.1900000000000004</v>
      </c>
      <c r="F31" s="2">
        <v>0</v>
      </c>
      <c r="G31" s="2">
        <v>-11</v>
      </c>
      <c r="H31" s="6">
        <v>0</v>
      </c>
    </row>
    <row r="32" spans="1:8" x14ac:dyDescent="0.2">
      <c r="A32" s="2" t="s">
        <v>538</v>
      </c>
      <c r="B32" s="2">
        <v>2017</v>
      </c>
      <c r="C32" s="2">
        <v>12</v>
      </c>
      <c r="D32" s="7">
        <v>13.34</v>
      </c>
      <c r="E32" s="2">
        <v>-0.96</v>
      </c>
      <c r="F32" s="2">
        <v>0</v>
      </c>
      <c r="G32" s="2">
        <v>-11</v>
      </c>
      <c r="H32" s="5">
        <v>0</v>
      </c>
    </row>
    <row r="33" spans="1:8" x14ac:dyDescent="0.2">
      <c r="A33" t="s">
        <v>308</v>
      </c>
      <c r="B33">
        <v>2010</v>
      </c>
      <c r="C33">
        <v>12</v>
      </c>
      <c r="D33" s="3">
        <v>13.270200000000001</v>
      </c>
      <c r="E33" s="3">
        <v>1.56</v>
      </c>
      <c r="F33">
        <v>2</v>
      </c>
      <c r="G33">
        <v>14</v>
      </c>
      <c r="H33" s="6">
        <f>(31/2)</f>
        <v>15.5</v>
      </c>
    </row>
    <row r="34" spans="1:8" x14ac:dyDescent="0.2">
      <c r="A34" t="s">
        <v>224</v>
      </c>
      <c r="B34">
        <v>2007</v>
      </c>
      <c r="C34">
        <v>12</v>
      </c>
      <c r="D34" s="3">
        <v>12.991199999999999</v>
      </c>
      <c r="E34" s="3">
        <v>2.72</v>
      </c>
      <c r="F34">
        <v>0</v>
      </c>
      <c r="G34">
        <v>-11</v>
      </c>
      <c r="H34" s="6">
        <v>0</v>
      </c>
    </row>
    <row r="35" spans="1:8" x14ac:dyDescent="0.2">
      <c r="A35" t="s">
        <v>618</v>
      </c>
      <c r="B35">
        <v>2005</v>
      </c>
      <c r="C35">
        <v>12</v>
      </c>
      <c r="D35" s="3">
        <v>12.701000000000001</v>
      </c>
      <c r="E35" s="3">
        <v>3.76</v>
      </c>
      <c r="F35">
        <v>2</v>
      </c>
      <c r="G35">
        <v>4</v>
      </c>
      <c r="H35" s="6">
        <f>(18/2)</f>
        <v>9</v>
      </c>
    </row>
    <row r="36" spans="1:8" x14ac:dyDescent="0.2">
      <c r="A36" s="2" t="s">
        <v>71</v>
      </c>
      <c r="B36" s="2">
        <v>2018</v>
      </c>
      <c r="C36" s="2">
        <v>12</v>
      </c>
      <c r="D36" s="7">
        <v>12.7</v>
      </c>
      <c r="E36" s="7">
        <v>-0.76</v>
      </c>
      <c r="F36" s="2">
        <v>0</v>
      </c>
      <c r="G36" s="2">
        <v>-17</v>
      </c>
      <c r="H36" s="6">
        <v>0</v>
      </c>
    </row>
    <row r="37" spans="1:8" x14ac:dyDescent="0.2">
      <c r="A37" s="2" t="s">
        <v>45</v>
      </c>
      <c r="B37">
        <v>2013</v>
      </c>
      <c r="C37">
        <v>12</v>
      </c>
      <c r="D37" s="7">
        <v>12.6752</v>
      </c>
      <c r="E37" s="3">
        <v>4.57</v>
      </c>
      <c r="F37">
        <v>1</v>
      </c>
      <c r="G37">
        <v>-3</v>
      </c>
      <c r="H37" s="6">
        <v>3</v>
      </c>
    </row>
    <row r="38" spans="1:8" x14ac:dyDescent="0.2">
      <c r="A38" t="s">
        <v>18</v>
      </c>
      <c r="B38">
        <v>2012</v>
      </c>
      <c r="C38">
        <v>12</v>
      </c>
      <c r="D38" s="3">
        <v>12.667400000000001</v>
      </c>
      <c r="E38" s="3">
        <v>2.2400000000000002</v>
      </c>
      <c r="F38">
        <v>1</v>
      </c>
      <c r="G38">
        <v>1</v>
      </c>
      <c r="H38" s="6">
        <v>3</v>
      </c>
    </row>
    <row r="39" spans="1:8" x14ac:dyDescent="0.2">
      <c r="A39" t="s">
        <v>34</v>
      </c>
      <c r="B39">
        <v>2008</v>
      </c>
      <c r="C39">
        <v>12</v>
      </c>
      <c r="D39" s="3">
        <v>12.6205</v>
      </c>
      <c r="E39" s="3">
        <v>-0.28999999999999998</v>
      </c>
      <c r="F39">
        <v>2</v>
      </c>
      <c r="G39">
        <v>3</v>
      </c>
      <c r="H39" s="6">
        <f>(18/2)</f>
        <v>9</v>
      </c>
    </row>
    <row r="40" spans="1:8" x14ac:dyDescent="0.2">
      <c r="A40" s="2" t="s">
        <v>389</v>
      </c>
      <c r="B40" s="2">
        <v>2014</v>
      </c>
      <c r="C40" s="2">
        <v>12</v>
      </c>
      <c r="D40" s="7">
        <v>12.574400000000001</v>
      </c>
      <c r="E40" s="7">
        <v>2.96</v>
      </c>
      <c r="F40" s="2">
        <v>1</v>
      </c>
      <c r="G40" s="2">
        <v>-14</v>
      </c>
      <c r="H40" s="5">
        <v>5</v>
      </c>
    </row>
    <row r="41" spans="1:8" x14ac:dyDescent="0.2">
      <c r="A41" s="2" t="s">
        <v>232</v>
      </c>
      <c r="B41" s="2">
        <v>2017</v>
      </c>
      <c r="C41" s="2">
        <v>12</v>
      </c>
      <c r="D41" s="7">
        <v>12.5</v>
      </c>
      <c r="E41" s="2">
        <v>2.5099999999999998</v>
      </c>
      <c r="F41" s="2">
        <v>0</v>
      </c>
      <c r="G41" s="2">
        <v>-2</v>
      </c>
      <c r="H41" s="5">
        <v>0</v>
      </c>
    </row>
    <row r="42" spans="1:8" x14ac:dyDescent="0.2">
      <c r="A42" s="2" t="s">
        <v>1066</v>
      </c>
      <c r="B42" s="2">
        <v>2016</v>
      </c>
      <c r="C42" s="2">
        <v>12</v>
      </c>
      <c r="D42" s="7">
        <v>12.480700000000001</v>
      </c>
      <c r="E42" s="7">
        <v>-3.48</v>
      </c>
      <c r="F42" s="2">
        <v>1</v>
      </c>
      <c r="G42" s="2">
        <v>-15</v>
      </c>
      <c r="H42" s="5">
        <v>2</v>
      </c>
    </row>
    <row r="43" spans="1:8" x14ac:dyDescent="0.2">
      <c r="A43" s="2" t="s">
        <v>1067</v>
      </c>
      <c r="B43" s="2">
        <v>2017</v>
      </c>
      <c r="C43" s="2">
        <v>12</v>
      </c>
      <c r="D43" s="7">
        <v>12.39</v>
      </c>
      <c r="E43" s="2">
        <v>2.46</v>
      </c>
      <c r="F43" s="2">
        <v>0</v>
      </c>
      <c r="G43" s="2">
        <v>-5</v>
      </c>
      <c r="H43" s="5">
        <v>0</v>
      </c>
    </row>
    <row r="44" spans="1:8" x14ac:dyDescent="0.2">
      <c r="A44" t="s">
        <v>618</v>
      </c>
      <c r="B44">
        <v>2003</v>
      </c>
      <c r="C44">
        <v>12</v>
      </c>
      <c r="D44" s="3">
        <v>12.3695</v>
      </c>
      <c r="E44" s="3">
        <v>-0.78</v>
      </c>
      <c r="F44">
        <v>0</v>
      </c>
      <c r="G44">
        <v>-1</v>
      </c>
      <c r="H44" s="6">
        <v>0</v>
      </c>
    </row>
    <row r="45" spans="1:8" x14ac:dyDescent="0.2">
      <c r="A45" s="2" t="s">
        <v>967</v>
      </c>
      <c r="B45" s="4">
        <v>2015</v>
      </c>
      <c r="C45" s="2">
        <v>12</v>
      </c>
      <c r="D45" s="7">
        <v>12.3026</v>
      </c>
      <c r="E45" s="7">
        <v>-0.09</v>
      </c>
      <c r="F45" s="2">
        <v>0</v>
      </c>
      <c r="G45" s="2">
        <v>-6</v>
      </c>
      <c r="H45" s="5">
        <v>0</v>
      </c>
    </row>
    <row r="46" spans="1:8" x14ac:dyDescent="0.2">
      <c r="A46" t="s">
        <v>35</v>
      </c>
      <c r="B46">
        <v>2008</v>
      </c>
      <c r="C46">
        <v>12</v>
      </c>
      <c r="D46" s="3">
        <v>12.154400000000001</v>
      </c>
      <c r="E46" s="3">
        <v>4.28</v>
      </c>
      <c r="F46">
        <v>0</v>
      </c>
      <c r="G46">
        <v>-11</v>
      </c>
      <c r="H46" s="6">
        <v>0</v>
      </c>
    </row>
    <row r="47" spans="1:8" x14ac:dyDescent="0.2">
      <c r="A47" t="s">
        <v>80</v>
      </c>
      <c r="B47">
        <v>2012</v>
      </c>
      <c r="C47">
        <v>12</v>
      </c>
      <c r="D47" s="3">
        <v>11.472300000000001</v>
      </c>
      <c r="E47" s="3">
        <v>2.58</v>
      </c>
      <c r="F47">
        <v>1</v>
      </c>
      <c r="G47">
        <v>8</v>
      </c>
      <c r="H47" s="6">
        <v>14</v>
      </c>
    </row>
    <row r="48" spans="1:8" x14ac:dyDescent="0.2">
      <c r="A48" t="s">
        <v>228</v>
      </c>
      <c r="B48">
        <v>2006</v>
      </c>
      <c r="C48">
        <v>12</v>
      </c>
      <c r="D48" s="3">
        <v>11.4567</v>
      </c>
      <c r="E48" s="3">
        <v>-0.76</v>
      </c>
      <c r="F48">
        <v>0</v>
      </c>
      <c r="G48">
        <v>-14</v>
      </c>
      <c r="H48" s="6">
        <v>0</v>
      </c>
    </row>
    <row r="49" spans="1:8" x14ac:dyDescent="0.2">
      <c r="A49" t="s">
        <v>71</v>
      </c>
      <c r="B49">
        <v>2004</v>
      </c>
      <c r="C49">
        <v>12</v>
      </c>
      <c r="D49" s="3">
        <v>11.4565</v>
      </c>
      <c r="E49" s="3">
        <v>0.78</v>
      </c>
      <c r="F49">
        <v>0</v>
      </c>
      <c r="G49">
        <v>-19</v>
      </c>
      <c r="H49" s="6">
        <v>0</v>
      </c>
    </row>
    <row r="50" spans="1:8" x14ac:dyDescent="0.2">
      <c r="A50" t="s">
        <v>758</v>
      </c>
      <c r="B50">
        <v>2004</v>
      </c>
      <c r="C50">
        <v>12</v>
      </c>
      <c r="D50" s="3">
        <v>11.418100000000001</v>
      </c>
      <c r="E50" s="3">
        <v>4.25</v>
      </c>
      <c r="F50">
        <v>1</v>
      </c>
      <c r="G50">
        <v>11</v>
      </c>
      <c r="H50" s="6">
        <v>15</v>
      </c>
    </row>
    <row r="51" spans="1:8" x14ac:dyDescent="0.2">
      <c r="A51" t="s">
        <v>25</v>
      </c>
      <c r="B51">
        <v>2002</v>
      </c>
      <c r="C51">
        <v>12</v>
      </c>
      <c r="D51" s="3">
        <v>11.3109</v>
      </c>
      <c r="E51" s="3">
        <v>2.39</v>
      </c>
      <c r="F51">
        <v>1</v>
      </c>
      <c r="G51">
        <v>-11</v>
      </c>
      <c r="H51" s="6">
        <v>1</v>
      </c>
    </row>
    <row r="52" spans="1:8" x14ac:dyDescent="0.2">
      <c r="A52" s="2" t="s">
        <v>390</v>
      </c>
      <c r="B52" s="2">
        <v>2014</v>
      </c>
      <c r="C52" s="2">
        <v>12</v>
      </c>
      <c r="D52" s="7">
        <v>10.8071</v>
      </c>
      <c r="E52" s="7">
        <v>-5.96</v>
      </c>
      <c r="F52" s="2">
        <v>1</v>
      </c>
      <c r="G52" s="2">
        <v>-15</v>
      </c>
      <c r="H52" s="5">
        <v>2</v>
      </c>
    </row>
    <row r="53" spans="1:8" x14ac:dyDescent="0.2">
      <c r="A53" t="s">
        <v>463</v>
      </c>
      <c r="B53">
        <v>2006</v>
      </c>
      <c r="C53">
        <v>12</v>
      </c>
      <c r="D53" s="3">
        <v>10.677</v>
      </c>
      <c r="E53" s="3">
        <v>-0.64</v>
      </c>
      <c r="F53">
        <v>0</v>
      </c>
      <c r="G53">
        <v>-15</v>
      </c>
      <c r="H53" s="6">
        <v>0</v>
      </c>
    </row>
    <row r="54" spans="1:8" x14ac:dyDescent="0.2">
      <c r="A54" s="2" t="s">
        <v>50</v>
      </c>
      <c r="B54" s="2">
        <v>2018</v>
      </c>
      <c r="C54" s="2">
        <v>12</v>
      </c>
      <c r="D54" s="7">
        <v>10.59</v>
      </c>
      <c r="E54" s="7">
        <v>3.91</v>
      </c>
      <c r="F54" s="2">
        <v>0</v>
      </c>
      <c r="G54" s="2">
        <v>-8</v>
      </c>
      <c r="H54" s="6">
        <v>0</v>
      </c>
    </row>
    <row r="55" spans="1:8" x14ac:dyDescent="0.2">
      <c r="A55" s="2" t="s">
        <v>31</v>
      </c>
      <c r="B55" s="2">
        <v>2014</v>
      </c>
      <c r="C55" s="2">
        <v>12</v>
      </c>
      <c r="D55" s="7">
        <v>10.538399999999999</v>
      </c>
      <c r="E55" s="7">
        <v>-0.16</v>
      </c>
      <c r="F55" s="2">
        <v>0</v>
      </c>
      <c r="G55" s="2">
        <v>-3</v>
      </c>
      <c r="H55" s="5">
        <v>0</v>
      </c>
    </row>
    <row r="56" spans="1:8" x14ac:dyDescent="0.2">
      <c r="A56" t="s">
        <v>223</v>
      </c>
      <c r="B56">
        <v>2008</v>
      </c>
      <c r="C56">
        <v>12</v>
      </c>
      <c r="D56" s="3">
        <v>10.0921</v>
      </c>
      <c r="E56" s="3">
        <v>3.55</v>
      </c>
      <c r="F56">
        <v>0</v>
      </c>
      <c r="G56">
        <v>-18</v>
      </c>
      <c r="H56" s="6">
        <v>0</v>
      </c>
    </row>
    <row r="57" spans="1:8" x14ac:dyDescent="0.2">
      <c r="A57" t="s">
        <v>224</v>
      </c>
      <c r="B57">
        <v>2005</v>
      </c>
      <c r="C57">
        <v>12</v>
      </c>
      <c r="D57" s="3">
        <v>9.8703000000000003</v>
      </c>
      <c r="E57" s="3">
        <v>-3.89</v>
      </c>
      <c r="F57">
        <v>0</v>
      </c>
      <c r="G57">
        <v>-8</v>
      </c>
      <c r="H57" s="6">
        <v>0</v>
      </c>
    </row>
    <row r="58" spans="1:8" x14ac:dyDescent="0.2">
      <c r="A58" t="s">
        <v>304</v>
      </c>
      <c r="B58">
        <v>2009</v>
      </c>
      <c r="C58">
        <v>12</v>
      </c>
      <c r="D58" s="3">
        <v>9.6337499999999991</v>
      </c>
      <c r="E58" s="3">
        <v>2.35</v>
      </c>
      <c r="F58">
        <v>0</v>
      </c>
      <c r="G58">
        <v>-5</v>
      </c>
      <c r="H58" s="6">
        <v>0</v>
      </c>
    </row>
    <row r="59" spans="1:8" x14ac:dyDescent="0.2">
      <c r="A59" s="2" t="s">
        <v>50</v>
      </c>
      <c r="B59" s="2">
        <v>2016</v>
      </c>
      <c r="C59" s="2">
        <v>12</v>
      </c>
      <c r="D59" s="7">
        <v>9.6044</v>
      </c>
      <c r="E59" s="7">
        <v>-0.13</v>
      </c>
      <c r="F59" s="2">
        <v>0</v>
      </c>
      <c r="G59" s="2">
        <v>-5</v>
      </c>
      <c r="H59" s="5">
        <v>0</v>
      </c>
    </row>
    <row r="60" spans="1:8" x14ac:dyDescent="0.2">
      <c r="A60" t="s">
        <v>59</v>
      </c>
      <c r="B60">
        <v>2006</v>
      </c>
      <c r="C60">
        <v>12</v>
      </c>
      <c r="D60" s="3">
        <v>8.7033000000000005</v>
      </c>
      <c r="E60" s="3">
        <v>-0.6</v>
      </c>
      <c r="F60">
        <v>1</v>
      </c>
      <c r="G60">
        <v>-5</v>
      </c>
      <c r="H60" s="6">
        <v>8</v>
      </c>
    </row>
    <row r="61" spans="1:8" x14ac:dyDescent="0.2">
      <c r="A61" t="s">
        <v>546</v>
      </c>
      <c r="B61">
        <v>2003</v>
      </c>
      <c r="C61">
        <v>12</v>
      </c>
      <c r="D61" s="3">
        <v>8.6852</v>
      </c>
      <c r="E61" s="3">
        <v>0.35</v>
      </c>
      <c r="F61">
        <v>0</v>
      </c>
      <c r="G61">
        <v>-7</v>
      </c>
      <c r="H61" s="6">
        <v>0</v>
      </c>
    </row>
    <row r="62" spans="1:8" x14ac:dyDescent="0.2">
      <c r="A62" t="s">
        <v>57</v>
      </c>
      <c r="B62">
        <v>2004</v>
      </c>
      <c r="C62">
        <v>12</v>
      </c>
      <c r="D62" s="3">
        <v>8.6097999999999999</v>
      </c>
      <c r="E62" s="3">
        <v>2.95</v>
      </c>
      <c r="F62">
        <v>1</v>
      </c>
      <c r="G62">
        <v>-7</v>
      </c>
      <c r="H62" s="6">
        <v>8</v>
      </c>
    </row>
    <row r="63" spans="1:8" x14ac:dyDescent="0.2">
      <c r="A63" s="2" t="s">
        <v>395</v>
      </c>
      <c r="B63" s="2">
        <v>2016</v>
      </c>
      <c r="C63" s="2">
        <v>12</v>
      </c>
      <c r="D63" s="7">
        <v>7.4999000000000002</v>
      </c>
      <c r="E63" s="7">
        <v>-1</v>
      </c>
      <c r="F63" s="2">
        <v>0</v>
      </c>
      <c r="G63" s="2">
        <v>-25</v>
      </c>
      <c r="H63" s="5">
        <v>0</v>
      </c>
    </row>
    <row r="64" spans="1:8" x14ac:dyDescent="0.2">
      <c r="A64" t="s">
        <v>61</v>
      </c>
      <c r="B64">
        <v>2009</v>
      </c>
      <c r="C64">
        <v>12</v>
      </c>
      <c r="D64" s="3">
        <v>6.9128999999999996</v>
      </c>
      <c r="E64" s="3">
        <v>4.13</v>
      </c>
      <c r="F64">
        <v>1</v>
      </c>
      <c r="G64">
        <v>2</v>
      </c>
      <c r="H64" s="6">
        <v>4</v>
      </c>
    </row>
    <row r="65" spans="1:8" x14ac:dyDescent="0.2">
      <c r="A65" t="s">
        <v>22</v>
      </c>
      <c r="B65">
        <v>2011</v>
      </c>
      <c r="C65">
        <v>12</v>
      </c>
      <c r="D65" s="3">
        <v>6.7751999999999999</v>
      </c>
      <c r="E65" s="3">
        <v>-0.61</v>
      </c>
      <c r="F65">
        <v>0</v>
      </c>
      <c r="G65">
        <v>-2</v>
      </c>
      <c r="H65" s="6">
        <v>0</v>
      </c>
    </row>
    <row r="66" spans="1:8" x14ac:dyDescent="0.2">
      <c r="A66" s="2" t="s">
        <v>968</v>
      </c>
      <c r="B66" s="4">
        <v>2015</v>
      </c>
      <c r="C66" s="2">
        <v>12</v>
      </c>
      <c r="D66" s="7">
        <v>6.3864000000000001</v>
      </c>
      <c r="E66" s="7">
        <v>-6.85</v>
      </c>
      <c r="F66" s="2">
        <v>0</v>
      </c>
      <c r="G66" s="2">
        <v>-17</v>
      </c>
      <c r="H66" s="5">
        <v>0</v>
      </c>
    </row>
    <row r="67" spans="1:8" x14ac:dyDescent="0.2">
      <c r="A67" s="2" t="s">
        <v>234</v>
      </c>
      <c r="B67" s="4">
        <v>2015</v>
      </c>
      <c r="C67" s="2">
        <v>12</v>
      </c>
      <c r="D67" s="7">
        <v>6.3784000000000001</v>
      </c>
      <c r="E67" s="7">
        <v>5.1100000000000003</v>
      </c>
      <c r="F67" s="2">
        <v>0</v>
      </c>
      <c r="G67" s="2">
        <v>-3</v>
      </c>
      <c r="H67" s="5">
        <v>0</v>
      </c>
    </row>
    <row r="68" spans="1:8" x14ac:dyDescent="0.2">
      <c r="A68" t="s">
        <v>79</v>
      </c>
      <c r="B68">
        <v>2007</v>
      </c>
      <c r="C68">
        <v>12</v>
      </c>
      <c r="D68" s="3">
        <v>6.1619999999999999</v>
      </c>
      <c r="E68" s="3">
        <v>-3.65</v>
      </c>
      <c r="F68">
        <v>0</v>
      </c>
      <c r="G68">
        <v>-35</v>
      </c>
      <c r="H68" s="6">
        <v>0</v>
      </c>
    </row>
    <row r="69" spans="1:8" x14ac:dyDescent="0.2">
      <c r="A69" t="s">
        <v>49</v>
      </c>
      <c r="B69">
        <v>2010</v>
      </c>
      <c r="C69">
        <v>12</v>
      </c>
      <c r="D69" s="3">
        <v>5.9809000000000001</v>
      </c>
      <c r="E69" s="3">
        <v>0.73</v>
      </c>
      <c r="F69">
        <v>0</v>
      </c>
      <c r="G69">
        <v>-3</v>
      </c>
      <c r="H69" s="6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69"/>
  <sheetViews>
    <sheetView topLeftCell="A28" workbookViewId="0">
      <selection activeCell="F61" sqref="F61:H61"/>
    </sheetView>
  </sheetViews>
  <sheetFormatPr baseColWidth="10" defaultRowHeight="16" x14ac:dyDescent="0.2"/>
  <cols>
    <col min="1" max="1" width="18.1640625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1178</v>
      </c>
      <c r="E1" s="1" t="s">
        <v>1176</v>
      </c>
      <c r="F1" s="1" t="s">
        <v>65</v>
      </c>
      <c r="G1" s="1" t="s">
        <v>91</v>
      </c>
      <c r="H1" s="1" t="s">
        <v>92</v>
      </c>
    </row>
    <row r="2" spans="1:8" x14ac:dyDescent="0.2">
      <c r="A2" t="s">
        <v>42</v>
      </c>
      <c r="B2">
        <v>2011</v>
      </c>
      <c r="C2">
        <v>13</v>
      </c>
      <c r="D2" s="3">
        <v>18.598500000000001</v>
      </c>
      <c r="E2" s="3">
        <v>-2.56</v>
      </c>
      <c r="F2">
        <v>0</v>
      </c>
      <c r="G2">
        <v>-14</v>
      </c>
      <c r="H2" s="6">
        <v>0</v>
      </c>
    </row>
    <row r="3" spans="1:8" x14ac:dyDescent="0.2">
      <c r="A3" t="s">
        <v>619</v>
      </c>
      <c r="B3">
        <v>2006</v>
      </c>
      <c r="C3">
        <v>13</v>
      </c>
      <c r="D3" s="3">
        <v>16.013200000000001</v>
      </c>
      <c r="E3" s="3">
        <v>-1.36</v>
      </c>
      <c r="F3">
        <v>2</v>
      </c>
      <c r="G3">
        <v>-6</v>
      </c>
      <c r="H3" s="6">
        <f>(10/2)</f>
        <v>5</v>
      </c>
    </row>
    <row r="4" spans="1:8" x14ac:dyDescent="0.2">
      <c r="A4" t="s">
        <v>620</v>
      </c>
      <c r="B4">
        <v>2006</v>
      </c>
      <c r="C4">
        <v>13</v>
      </c>
      <c r="D4" s="3">
        <v>15.056100000000001</v>
      </c>
      <c r="E4" s="3">
        <v>-4.0999999999999996</v>
      </c>
      <c r="F4">
        <v>0</v>
      </c>
      <c r="G4">
        <v>-9</v>
      </c>
      <c r="H4" s="6">
        <v>0</v>
      </c>
    </row>
    <row r="5" spans="1:8" x14ac:dyDescent="0.2">
      <c r="A5" t="s">
        <v>307</v>
      </c>
      <c r="B5">
        <v>2004</v>
      </c>
      <c r="C5">
        <v>13</v>
      </c>
      <c r="D5" s="3">
        <v>14.1478</v>
      </c>
      <c r="E5" s="3">
        <v>-3.03</v>
      </c>
      <c r="F5">
        <v>0</v>
      </c>
      <c r="G5">
        <v>-3</v>
      </c>
      <c r="H5" s="6">
        <v>0</v>
      </c>
    </row>
    <row r="6" spans="1:8" x14ac:dyDescent="0.2">
      <c r="A6" t="s">
        <v>52</v>
      </c>
      <c r="B6">
        <v>2002</v>
      </c>
      <c r="C6">
        <v>13</v>
      </c>
      <c r="D6" s="3">
        <v>14.1175</v>
      </c>
      <c r="E6" s="3">
        <v>1.57</v>
      </c>
      <c r="F6">
        <v>0</v>
      </c>
      <c r="G6">
        <v>-15</v>
      </c>
      <c r="H6" s="6">
        <v>0</v>
      </c>
    </row>
    <row r="7" spans="1:8" x14ac:dyDescent="0.2">
      <c r="A7" t="s">
        <v>71</v>
      </c>
      <c r="B7">
        <v>2010</v>
      </c>
      <c r="C7">
        <v>13</v>
      </c>
      <c r="D7" s="3">
        <v>14.107200000000001</v>
      </c>
      <c r="E7" s="3">
        <v>-6.31</v>
      </c>
      <c r="F7">
        <v>1</v>
      </c>
      <c r="G7">
        <v>-1</v>
      </c>
      <c r="H7" s="6">
        <v>1</v>
      </c>
    </row>
    <row r="8" spans="1:8" x14ac:dyDescent="0.2">
      <c r="A8" t="s">
        <v>309</v>
      </c>
      <c r="B8">
        <v>2010</v>
      </c>
      <c r="C8">
        <v>13</v>
      </c>
      <c r="D8" s="3">
        <v>13.6829</v>
      </c>
      <c r="E8" s="3">
        <v>3.71</v>
      </c>
      <c r="F8">
        <v>0</v>
      </c>
      <c r="G8">
        <v>-8</v>
      </c>
      <c r="H8" s="6">
        <v>0</v>
      </c>
    </row>
    <row r="9" spans="1:8" x14ac:dyDescent="0.2">
      <c r="A9" t="s">
        <v>88</v>
      </c>
      <c r="B9">
        <v>2005</v>
      </c>
      <c r="C9">
        <v>13</v>
      </c>
      <c r="D9" s="3">
        <v>13.3919</v>
      </c>
      <c r="E9" s="3">
        <v>3.11</v>
      </c>
      <c r="F9">
        <v>1</v>
      </c>
      <c r="G9">
        <v>-8</v>
      </c>
      <c r="H9" s="6">
        <v>3</v>
      </c>
    </row>
    <row r="10" spans="1:8" x14ac:dyDescent="0.2">
      <c r="A10" t="s">
        <v>51</v>
      </c>
      <c r="B10">
        <v>2007</v>
      </c>
      <c r="C10">
        <v>13</v>
      </c>
      <c r="D10" s="3">
        <v>13.327400000000001</v>
      </c>
      <c r="E10" s="3">
        <v>4.1399999999999997</v>
      </c>
      <c r="F10">
        <v>0</v>
      </c>
      <c r="G10">
        <v>-12</v>
      </c>
      <c r="H10" s="6">
        <v>0</v>
      </c>
    </row>
    <row r="11" spans="1:8" x14ac:dyDescent="0.2">
      <c r="A11" s="2" t="s">
        <v>48</v>
      </c>
      <c r="B11">
        <v>2013</v>
      </c>
      <c r="C11">
        <v>13</v>
      </c>
      <c r="D11" s="7">
        <v>13.2439</v>
      </c>
      <c r="E11" s="3">
        <v>-0.14000000000000001</v>
      </c>
      <c r="F11">
        <v>2</v>
      </c>
      <c r="G11">
        <v>-10</v>
      </c>
      <c r="H11" s="6">
        <f>(4/2)</f>
        <v>2</v>
      </c>
    </row>
    <row r="12" spans="1:8" x14ac:dyDescent="0.2">
      <c r="A12" t="s">
        <v>231</v>
      </c>
      <c r="B12">
        <v>2011</v>
      </c>
      <c r="C12">
        <v>13</v>
      </c>
      <c r="D12" s="3">
        <v>12.5753</v>
      </c>
      <c r="E12" s="3">
        <v>11.27</v>
      </c>
      <c r="F12">
        <v>0</v>
      </c>
      <c r="G12">
        <v>-4</v>
      </c>
      <c r="H12" s="6">
        <v>0</v>
      </c>
    </row>
    <row r="13" spans="1:8" x14ac:dyDescent="0.2">
      <c r="A13" s="2" t="s">
        <v>88</v>
      </c>
      <c r="B13" s="2">
        <v>2017</v>
      </c>
      <c r="C13" s="2">
        <v>13</v>
      </c>
      <c r="D13" s="7">
        <v>11.88</v>
      </c>
      <c r="E13" s="2">
        <v>1.86</v>
      </c>
      <c r="F13" s="2">
        <v>0</v>
      </c>
      <c r="G13" s="2">
        <v>-10</v>
      </c>
      <c r="H13" s="5">
        <v>0</v>
      </c>
    </row>
    <row r="14" spans="1:8" x14ac:dyDescent="0.2">
      <c r="A14" s="2" t="s">
        <v>1068</v>
      </c>
      <c r="B14" s="2">
        <v>2016</v>
      </c>
      <c r="C14" s="2">
        <v>13</v>
      </c>
      <c r="D14" s="7">
        <v>11.7339</v>
      </c>
      <c r="E14" s="7">
        <v>-4.18</v>
      </c>
      <c r="F14" s="2">
        <v>1</v>
      </c>
      <c r="G14" s="2">
        <v>-2</v>
      </c>
      <c r="H14" s="5">
        <v>11</v>
      </c>
    </row>
    <row r="15" spans="1:8" x14ac:dyDescent="0.2">
      <c r="A15" t="s">
        <v>49</v>
      </c>
      <c r="B15">
        <v>2012</v>
      </c>
      <c r="C15">
        <v>13</v>
      </c>
      <c r="D15" s="3">
        <v>11.654400000000001</v>
      </c>
      <c r="E15" s="3">
        <v>0.03</v>
      </c>
      <c r="F15">
        <v>0</v>
      </c>
      <c r="G15">
        <v>-13</v>
      </c>
      <c r="H15" s="6">
        <v>0</v>
      </c>
    </row>
    <row r="16" spans="1:8" x14ac:dyDescent="0.2">
      <c r="A16" t="s">
        <v>387</v>
      </c>
      <c r="B16">
        <v>2009</v>
      </c>
      <c r="C16">
        <v>13</v>
      </c>
      <c r="D16" s="3">
        <v>11.539099999999999</v>
      </c>
      <c r="E16" s="3">
        <v>-0.27</v>
      </c>
      <c r="F16">
        <v>0</v>
      </c>
      <c r="G16">
        <v>-13</v>
      </c>
      <c r="H16" s="6">
        <v>0</v>
      </c>
    </row>
    <row r="17" spans="1:8" x14ac:dyDescent="0.2">
      <c r="A17" s="2" t="s">
        <v>315</v>
      </c>
      <c r="B17" s="2">
        <v>2017</v>
      </c>
      <c r="C17" s="2">
        <v>13</v>
      </c>
      <c r="D17" s="7">
        <v>11.49</v>
      </c>
      <c r="E17" s="2">
        <v>0.55000000000000004</v>
      </c>
      <c r="F17" s="2">
        <v>0</v>
      </c>
      <c r="G17" s="2">
        <v>-15</v>
      </c>
      <c r="H17" s="5">
        <v>0</v>
      </c>
    </row>
    <row r="18" spans="1:8" x14ac:dyDescent="0.2">
      <c r="A18" t="s">
        <v>386</v>
      </c>
      <c r="B18">
        <v>2009</v>
      </c>
      <c r="C18">
        <v>13</v>
      </c>
      <c r="D18" s="3">
        <v>11.400399999999999</v>
      </c>
      <c r="E18" s="3">
        <v>5.93</v>
      </c>
      <c r="F18">
        <v>1</v>
      </c>
      <c r="G18">
        <v>1</v>
      </c>
      <c r="H18" s="6">
        <v>15</v>
      </c>
    </row>
    <row r="19" spans="1:8" x14ac:dyDescent="0.2">
      <c r="A19" t="s">
        <v>61</v>
      </c>
      <c r="B19">
        <v>2003</v>
      </c>
      <c r="C19">
        <v>13</v>
      </c>
      <c r="D19" s="3">
        <v>11.3767</v>
      </c>
      <c r="E19" s="3">
        <v>2.19</v>
      </c>
      <c r="F19">
        <v>0</v>
      </c>
      <c r="G19">
        <v>-5</v>
      </c>
      <c r="H19" s="6">
        <v>0</v>
      </c>
    </row>
    <row r="20" spans="1:8" x14ac:dyDescent="0.2">
      <c r="A20" t="s">
        <v>55</v>
      </c>
      <c r="B20">
        <v>2006</v>
      </c>
      <c r="C20">
        <v>13</v>
      </c>
      <c r="D20" s="3">
        <v>11.2584</v>
      </c>
      <c r="E20" s="3">
        <v>2.2200000000000002</v>
      </c>
      <c r="F20">
        <v>0</v>
      </c>
      <c r="G20">
        <v>-16</v>
      </c>
      <c r="H20" s="6">
        <v>0</v>
      </c>
    </row>
    <row r="21" spans="1:8" x14ac:dyDescent="0.2">
      <c r="A21" t="s">
        <v>828</v>
      </c>
      <c r="B21">
        <v>2003</v>
      </c>
      <c r="C21">
        <v>13</v>
      </c>
      <c r="D21" s="3">
        <v>11.1768</v>
      </c>
      <c r="E21" s="3">
        <v>5.03</v>
      </c>
      <c r="F21">
        <v>1</v>
      </c>
      <c r="G21">
        <v>12</v>
      </c>
      <c r="H21" s="6">
        <v>13</v>
      </c>
    </row>
    <row r="22" spans="1:8" x14ac:dyDescent="0.2">
      <c r="A22" t="s">
        <v>57</v>
      </c>
      <c r="B22">
        <v>2006</v>
      </c>
      <c r="C22">
        <v>13</v>
      </c>
      <c r="D22" s="3">
        <v>11.0565</v>
      </c>
      <c r="E22" s="3">
        <v>0.56999999999999995</v>
      </c>
      <c r="F22">
        <v>0</v>
      </c>
      <c r="G22">
        <v>-12</v>
      </c>
      <c r="H22" s="6">
        <v>0</v>
      </c>
    </row>
    <row r="23" spans="1:8" x14ac:dyDescent="0.2">
      <c r="A23" s="2" t="s">
        <v>52</v>
      </c>
      <c r="B23" s="4">
        <v>2015</v>
      </c>
      <c r="C23" s="2">
        <v>13</v>
      </c>
      <c r="D23" s="7">
        <v>10.9749</v>
      </c>
      <c r="E23" s="7">
        <v>-4.2</v>
      </c>
      <c r="F23" s="2">
        <v>0</v>
      </c>
      <c r="G23" s="2">
        <v>-3</v>
      </c>
      <c r="H23" s="5">
        <v>0</v>
      </c>
    </row>
    <row r="24" spans="1:8" x14ac:dyDescent="0.2">
      <c r="A24" t="s">
        <v>466</v>
      </c>
      <c r="B24">
        <v>2008</v>
      </c>
      <c r="C24">
        <v>13</v>
      </c>
      <c r="D24" s="3">
        <v>10.9544</v>
      </c>
      <c r="E24" s="3">
        <v>7.59</v>
      </c>
      <c r="F24">
        <v>0</v>
      </c>
      <c r="G24">
        <v>-19</v>
      </c>
      <c r="H24" s="6">
        <v>0</v>
      </c>
    </row>
    <row r="25" spans="1:8" x14ac:dyDescent="0.2">
      <c r="A25" t="s">
        <v>81</v>
      </c>
      <c r="B25">
        <v>2012</v>
      </c>
      <c r="C25">
        <v>13</v>
      </c>
      <c r="D25" s="3">
        <v>10.7719</v>
      </c>
      <c r="E25" s="3">
        <v>-2.0299999999999998</v>
      </c>
      <c r="F25">
        <v>2</v>
      </c>
      <c r="G25">
        <v>3</v>
      </c>
      <c r="H25" s="6">
        <f>(11/2)</f>
        <v>5.5</v>
      </c>
    </row>
    <row r="26" spans="1:8" x14ac:dyDescent="0.2">
      <c r="A26" t="s">
        <v>1067</v>
      </c>
      <c r="B26">
        <v>2002</v>
      </c>
      <c r="C26">
        <v>13</v>
      </c>
      <c r="D26" s="3">
        <v>10.7621</v>
      </c>
      <c r="E26" s="3">
        <v>3.85</v>
      </c>
      <c r="F26">
        <v>1</v>
      </c>
      <c r="G26">
        <v>-5</v>
      </c>
      <c r="H26" s="6">
        <v>4</v>
      </c>
    </row>
    <row r="27" spans="1:8" x14ac:dyDescent="0.2">
      <c r="A27" t="s">
        <v>51</v>
      </c>
      <c r="B27">
        <v>2012</v>
      </c>
      <c r="C27">
        <v>13</v>
      </c>
      <c r="D27" s="3">
        <v>10.7479</v>
      </c>
      <c r="E27" s="3">
        <v>9.0500000000000007</v>
      </c>
      <c r="F27">
        <v>0</v>
      </c>
      <c r="G27">
        <v>-7</v>
      </c>
      <c r="H27" s="6">
        <v>0</v>
      </c>
    </row>
    <row r="28" spans="1:8" x14ac:dyDescent="0.2">
      <c r="A28" t="s">
        <v>759</v>
      </c>
      <c r="B28">
        <v>2004</v>
      </c>
      <c r="C28">
        <v>13</v>
      </c>
      <c r="D28" s="3">
        <v>10.6982</v>
      </c>
      <c r="E28" s="3">
        <v>-2.41</v>
      </c>
      <c r="F28">
        <v>0</v>
      </c>
      <c r="G28">
        <v>-34</v>
      </c>
      <c r="H28" s="6">
        <v>0</v>
      </c>
    </row>
    <row r="29" spans="1:8" x14ac:dyDescent="0.2">
      <c r="A29" s="2" t="s">
        <v>49</v>
      </c>
      <c r="B29" s="2">
        <v>2014</v>
      </c>
      <c r="C29" s="2">
        <v>13</v>
      </c>
      <c r="D29" s="7">
        <v>10.672000000000001</v>
      </c>
      <c r="E29" s="7">
        <v>1.98</v>
      </c>
      <c r="F29" s="2">
        <v>0</v>
      </c>
      <c r="G29" s="2">
        <v>-4</v>
      </c>
      <c r="H29" s="5">
        <v>0</v>
      </c>
    </row>
    <row r="30" spans="1:8" x14ac:dyDescent="0.2">
      <c r="A30" s="2" t="s">
        <v>967</v>
      </c>
      <c r="B30" s="2">
        <v>2018</v>
      </c>
      <c r="C30" s="2">
        <v>13</v>
      </c>
      <c r="D30" s="7">
        <v>10.49</v>
      </c>
      <c r="E30" s="7">
        <v>4.08</v>
      </c>
      <c r="F30" s="2"/>
      <c r="G30" s="2"/>
      <c r="H30" s="10"/>
    </row>
    <row r="31" spans="1:8" x14ac:dyDescent="0.2">
      <c r="A31" t="s">
        <v>544</v>
      </c>
      <c r="B31">
        <v>2005</v>
      </c>
      <c r="C31">
        <v>13</v>
      </c>
      <c r="D31" s="3">
        <v>9.9148999999999994</v>
      </c>
      <c r="E31" s="3">
        <v>2.83</v>
      </c>
      <c r="F31">
        <v>0</v>
      </c>
      <c r="G31">
        <v>-20</v>
      </c>
      <c r="H31" s="6">
        <v>0</v>
      </c>
    </row>
    <row r="32" spans="1:8" x14ac:dyDescent="0.2">
      <c r="A32" s="2" t="s">
        <v>758</v>
      </c>
      <c r="B32" s="2">
        <v>2014</v>
      </c>
      <c r="C32" s="2">
        <v>13</v>
      </c>
      <c r="D32" s="7">
        <v>9.5222999999999995</v>
      </c>
      <c r="E32" s="7">
        <v>1.22</v>
      </c>
      <c r="F32" s="2">
        <v>0</v>
      </c>
      <c r="G32" s="2">
        <v>-7</v>
      </c>
      <c r="H32" s="5">
        <v>0</v>
      </c>
    </row>
    <row r="33" spans="1:8" x14ac:dyDescent="0.2">
      <c r="A33" t="s">
        <v>686</v>
      </c>
      <c r="B33">
        <v>2005</v>
      </c>
      <c r="C33">
        <v>13</v>
      </c>
      <c r="D33" s="3">
        <v>9.4460999999999995</v>
      </c>
      <c r="E33" s="3">
        <v>7.09</v>
      </c>
      <c r="F33">
        <v>0</v>
      </c>
      <c r="G33">
        <v>-6</v>
      </c>
      <c r="H33" s="6">
        <v>0</v>
      </c>
    </row>
    <row r="34" spans="1:8" x14ac:dyDescent="0.2">
      <c r="A34" s="2" t="s">
        <v>828</v>
      </c>
      <c r="B34" s="2">
        <v>2014</v>
      </c>
      <c r="C34" s="2">
        <v>13</v>
      </c>
      <c r="D34" s="7">
        <v>9.3399000000000001</v>
      </c>
      <c r="E34" s="7">
        <v>3.13</v>
      </c>
      <c r="F34" s="2">
        <v>0</v>
      </c>
      <c r="G34" s="2">
        <v>-17</v>
      </c>
      <c r="H34" s="5">
        <v>0</v>
      </c>
    </row>
    <row r="35" spans="1:8" x14ac:dyDescent="0.2">
      <c r="A35" t="s">
        <v>143</v>
      </c>
      <c r="B35">
        <v>2002</v>
      </c>
      <c r="C35">
        <v>13</v>
      </c>
      <c r="D35" s="3">
        <v>9.2499000000000002</v>
      </c>
      <c r="E35" s="3">
        <v>1.44</v>
      </c>
      <c r="F35">
        <v>0</v>
      </c>
      <c r="G35">
        <v>-29</v>
      </c>
      <c r="H35" s="6">
        <v>0</v>
      </c>
    </row>
    <row r="36" spans="1:8" x14ac:dyDescent="0.2">
      <c r="A36" s="2" t="s">
        <v>1067</v>
      </c>
      <c r="B36" s="2">
        <v>2016</v>
      </c>
      <c r="C36" s="2">
        <v>13</v>
      </c>
      <c r="D36" s="7">
        <v>9.2433999999999994</v>
      </c>
      <c r="E36" s="7">
        <v>-4.3499999999999996</v>
      </c>
      <c r="F36" s="2">
        <v>0</v>
      </c>
      <c r="G36" s="2">
        <v>-8</v>
      </c>
      <c r="H36" s="5">
        <v>0</v>
      </c>
    </row>
    <row r="37" spans="1:8" x14ac:dyDescent="0.2">
      <c r="A37" t="s">
        <v>234</v>
      </c>
      <c r="B37">
        <v>2010</v>
      </c>
      <c r="C37">
        <v>13</v>
      </c>
      <c r="D37" s="3">
        <v>9.2271999999999998</v>
      </c>
      <c r="E37" s="3">
        <v>1.72</v>
      </c>
      <c r="F37">
        <v>0</v>
      </c>
      <c r="G37">
        <v>-4</v>
      </c>
      <c r="H37" s="6">
        <v>0</v>
      </c>
    </row>
    <row r="38" spans="1:8" x14ac:dyDescent="0.2">
      <c r="A38" t="s">
        <v>310</v>
      </c>
      <c r="B38">
        <v>2010</v>
      </c>
      <c r="C38">
        <v>13</v>
      </c>
      <c r="D38" s="3">
        <v>9.1237999999999992</v>
      </c>
      <c r="E38" s="3">
        <v>1.89</v>
      </c>
      <c r="F38">
        <v>0</v>
      </c>
      <c r="G38">
        <v>-12</v>
      </c>
      <c r="H38" s="6">
        <v>0</v>
      </c>
    </row>
    <row r="39" spans="1:8" x14ac:dyDescent="0.2">
      <c r="A39" s="2" t="s">
        <v>1256</v>
      </c>
      <c r="B39" s="2">
        <v>2018</v>
      </c>
      <c r="C39" s="2">
        <v>13</v>
      </c>
      <c r="D39" s="7">
        <v>9.06</v>
      </c>
      <c r="E39" s="7">
        <v>-3.23</v>
      </c>
      <c r="F39" s="2">
        <v>0</v>
      </c>
      <c r="G39" s="2">
        <v>-4</v>
      </c>
      <c r="H39" s="6">
        <v>0</v>
      </c>
    </row>
    <row r="40" spans="1:8" x14ac:dyDescent="0.2">
      <c r="A40" s="2" t="s">
        <v>49</v>
      </c>
      <c r="B40">
        <v>2013</v>
      </c>
      <c r="C40">
        <v>13</v>
      </c>
      <c r="D40" s="7">
        <v>8.8882999999999992</v>
      </c>
      <c r="E40" s="3">
        <v>4.1399999999999997</v>
      </c>
      <c r="F40">
        <v>0</v>
      </c>
      <c r="G40">
        <v>-20</v>
      </c>
      <c r="H40" s="6">
        <v>0</v>
      </c>
    </row>
    <row r="41" spans="1:8" x14ac:dyDescent="0.2">
      <c r="A41" s="2" t="s">
        <v>53</v>
      </c>
      <c r="B41" s="4">
        <v>2015</v>
      </c>
      <c r="C41" s="2">
        <v>13</v>
      </c>
      <c r="D41" s="7">
        <v>8.7939000000000007</v>
      </c>
      <c r="E41" s="7">
        <v>0.14000000000000001</v>
      </c>
      <c r="F41" s="2">
        <v>0</v>
      </c>
      <c r="G41" s="2">
        <v>-2</v>
      </c>
      <c r="H41" s="5">
        <v>0</v>
      </c>
    </row>
    <row r="42" spans="1:8" x14ac:dyDescent="0.2">
      <c r="A42" s="2" t="s">
        <v>43</v>
      </c>
      <c r="B42" s="2">
        <v>2017</v>
      </c>
      <c r="C42" s="2">
        <v>13</v>
      </c>
      <c r="D42" s="7">
        <v>8.7200000000000006</v>
      </c>
      <c r="E42" s="2">
        <v>1.1000000000000001</v>
      </c>
      <c r="F42" s="2">
        <v>0</v>
      </c>
      <c r="G42" s="2">
        <v>-6</v>
      </c>
      <c r="H42" s="5">
        <v>0</v>
      </c>
    </row>
    <row r="43" spans="1:8" x14ac:dyDescent="0.2">
      <c r="A43" t="s">
        <v>232</v>
      </c>
      <c r="B43">
        <v>2011</v>
      </c>
      <c r="C43">
        <v>13</v>
      </c>
      <c r="D43" s="3">
        <v>8.6555</v>
      </c>
      <c r="E43" s="3">
        <v>-1.23</v>
      </c>
      <c r="F43">
        <v>0</v>
      </c>
      <c r="G43">
        <v>-2</v>
      </c>
      <c r="H43" s="6">
        <v>0</v>
      </c>
    </row>
    <row r="44" spans="1:8" x14ac:dyDescent="0.2">
      <c r="A44" s="2" t="s">
        <v>1070</v>
      </c>
      <c r="B44" s="2">
        <v>2016</v>
      </c>
      <c r="C44" s="2">
        <v>13</v>
      </c>
      <c r="D44" s="7">
        <v>8.5396999999999998</v>
      </c>
      <c r="E44" s="7">
        <v>2.21</v>
      </c>
      <c r="F44" s="2">
        <v>0</v>
      </c>
      <c r="G44" s="2">
        <v>-28</v>
      </c>
      <c r="H44" s="5">
        <v>0</v>
      </c>
    </row>
    <row r="45" spans="1:8" x14ac:dyDescent="0.2">
      <c r="A45" t="s">
        <v>18</v>
      </c>
      <c r="B45">
        <v>2004</v>
      </c>
      <c r="C45">
        <v>13</v>
      </c>
      <c r="D45" s="3">
        <v>8.4860000000000007</v>
      </c>
      <c r="E45" s="3">
        <v>1.27</v>
      </c>
      <c r="F45">
        <v>0</v>
      </c>
      <c r="G45">
        <v>-1</v>
      </c>
      <c r="H45" s="6">
        <v>0</v>
      </c>
    </row>
    <row r="46" spans="1:8" x14ac:dyDescent="0.2">
      <c r="A46" t="s">
        <v>467</v>
      </c>
      <c r="B46">
        <v>2003</v>
      </c>
      <c r="C46">
        <v>13</v>
      </c>
      <c r="D46" s="3">
        <v>8.1845999999999997</v>
      </c>
      <c r="E46" s="3">
        <v>4.05</v>
      </c>
      <c r="F46">
        <v>0</v>
      </c>
      <c r="G46">
        <v>-8</v>
      </c>
      <c r="H46" s="6">
        <v>0</v>
      </c>
    </row>
    <row r="47" spans="1:8" x14ac:dyDescent="0.2">
      <c r="A47" t="s">
        <v>59</v>
      </c>
      <c r="B47">
        <v>2012</v>
      </c>
      <c r="C47">
        <v>13</v>
      </c>
      <c r="D47" s="3">
        <v>7.8697999999999997</v>
      </c>
      <c r="E47" s="3">
        <v>-0.12</v>
      </c>
      <c r="F47">
        <v>0</v>
      </c>
      <c r="G47">
        <v>-24</v>
      </c>
      <c r="H47" s="6">
        <v>0</v>
      </c>
    </row>
    <row r="48" spans="1:8" x14ac:dyDescent="0.2">
      <c r="A48" t="s">
        <v>315</v>
      </c>
      <c r="B48">
        <v>2004</v>
      </c>
      <c r="C48">
        <v>13</v>
      </c>
      <c r="D48" s="3">
        <v>7.8502000000000001</v>
      </c>
      <c r="E48" s="3">
        <v>-1.7</v>
      </c>
      <c r="F48">
        <v>0</v>
      </c>
      <c r="G48">
        <v>-3</v>
      </c>
      <c r="H48" s="6">
        <v>0</v>
      </c>
    </row>
    <row r="49" spans="1:8" x14ac:dyDescent="0.2">
      <c r="A49" t="s">
        <v>81</v>
      </c>
      <c r="B49">
        <v>2005</v>
      </c>
      <c r="C49">
        <v>13</v>
      </c>
      <c r="D49" s="3">
        <v>7.8390000000000004</v>
      </c>
      <c r="E49" s="3">
        <v>-4.26</v>
      </c>
      <c r="F49">
        <v>0</v>
      </c>
      <c r="G49">
        <v>-5</v>
      </c>
      <c r="H49" s="6">
        <v>0</v>
      </c>
    </row>
    <row r="50" spans="1:8" x14ac:dyDescent="0.2">
      <c r="A50" s="2" t="s">
        <v>55</v>
      </c>
      <c r="B50" s="2">
        <v>2016</v>
      </c>
      <c r="C50" s="2">
        <v>13</v>
      </c>
      <c r="D50" s="7">
        <v>7.8235000000000001</v>
      </c>
      <c r="E50" s="7">
        <v>4.68</v>
      </c>
      <c r="F50" s="2">
        <v>0</v>
      </c>
      <c r="G50" s="2">
        <v>-13</v>
      </c>
      <c r="H50" s="5">
        <v>0</v>
      </c>
    </row>
    <row r="51" spans="1:8" x14ac:dyDescent="0.2">
      <c r="A51" t="s">
        <v>49</v>
      </c>
      <c r="B51">
        <v>2007</v>
      </c>
      <c r="C51">
        <v>13</v>
      </c>
      <c r="D51" s="3">
        <v>7.4763000000000002</v>
      </c>
      <c r="E51" s="3">
        <v>-2.3199999999999998</v>
      </c>
      <c r="F51">
        <v>0</v>
      </c>
      <c r="G51">
        <v>-12</v>
      </c>
      <c r="H51" s="6">
        <v>0</v>
      </c>
    </row>
    <row r="52" spans="1:8" x14ac:dyDescent="0.2">
      <c r="A52" t="s">
        <v>541</v>
      </c>
      <c r="B52">
        <v>2007</v>
      </c>
      <c r="C52">
        <v>13</v>
      </c>
      <c r="D52" s="3">
        <v>7.4410999999999996</v>
      </c>
      <c r="E52" s="3">
        <v>-0.32</v>
      </c>
      <c r="F52">
        <v>0</v>
      </c>
      <c r="G52">
        <v>-10</v>
      </c>
      <c r="H52" s="6">
        <v>0</v>
      </c>
    </row>
    <row r="53" spans="1:8" x14ac:dyDescent="0.2">
      <c r="A53" s="2" t="s">
        <v>50</v>
      </c>
      <c r="B53">
        <v>2013</v>
      </c>
      <c r="C53">
        <v>13</v>
      </c>
      <c r="D53" s="7">
        <v>7.1985999999999999</v>
      </c>
      <c r="E53" s="3">
        <v>1.61</v>
      </c>
      <c r="F53">
        <v>0</v>
      </c>
      <c r="G53">
        <v>-15</v>
      </c>
      <c r="H53" s="6">
        <v>0</v>
      </c>
    </row>
    <row r="54" spans="1:8" x14ac:dyDescent="0.2">
      <c r="A54" t="s">
        <v>468</v>
      </c>
      <c r="B54">
        <v>2008</v>
      </c>
      <c r="C54">
        <v>13</v>
      </c>
      <c r="D54" s="3">
        <v>7.1380999999999997</v>
      </c>
      <c r="E54" s="3">
        <v>7.56</v>
      </c>
      <c r="F54">
        <v>0</v>
      </c>
      <c r="G54">
        <v>-31</v>
      </c>
      <c r="H54" s="6">
        <v>0</v>
      </c>
    </row>
    <row r="55" spans="1:8" x14ac:dyDescent="0.2">
      <c r="A55" s="2" t="s">
        <v>1184</v>
      </c>
      <c r="B55" s="4">
        <v>2015</v>
      </c>
      <c r="C55" s="2">
        <v>13</v>
      </c>
      <c r="D55" s="7">
        <v>6.8611000000000004</v>
      </c>
      <c r="E55" s="7">
        <v>0.72</v>
      </c>
      <c r="F55" s="2">
        <v>0</v>
      </c>
      <c r="G55" s="2">
        <v>-2</v>
      </c>
      <c r="H55" s="5">
        <v>0</v>
      </c>
    </row>
    <row r="56" spans="1:8" x14ac:dyDescent="0.2">
      <c r="A56" t="s">
        <v>46</v>
      </c>
      <c r="B56">
        <v>2009</v>
      </c>
      <c r="C56">
        <v>13</v>
      </c>
      <c r="D56" s="3">
        <v>6.8503999999999996</v>
      </c>
      <c r="E56" s="3">
        <v>-2.61</v>
      </c>
      <c r="F56">
        <v>0</v>
      </c>
      <c r="G56">
        <v>-13</v>
      </c>
      <c r="H56" s="6">
        <v>0</v>
      </c>
    </row>
    <row r="57" spans="1:8" x14ac:dyDescent="0.2">
      <c r="A57" t="s">
        <v>309</v>
      </c>
      <c r="B57">
        <v>2008</v>
      </c>
      <c r="C57">
        <v>13</v>
      </c>
      <c r="D57" s="3">
        <v>6.6727999999999996</v>
      </c>
      <c r="E57" s="3">
        <v>3.56</v>
      </c>
      <c r="F57">
        <v>1</v>
      </c>
      <c r="G57">
        <v>9</v>
      </c>
      <c r="H57" s="6">
        <v>21</v>
      </c>
    </row>
    <row r="58" spans="1:8" x14ac:dyDescent="0.2">
      <c r="A58" t="s">
        <v>233</v>
      </c>
      <c r="B58">
        <v>2011</v>
      </c>
      <c r="C58">
        <v>13</v>
      </c>
      <c r="D58" s="3">
        <v>6.6368999999999998</v>
      </c>
      <c r="E58" s="3">
        <v>1.25</v>
      </c>
      <c r="F58">
        <v>1</v>
      </c>
      <c r="G58">
        <v>-16</v>
      </c>
      <c r="H58" s="6">
        <v>1</v>
      </c>
    </row>
    <row r="59" spans="1:8" x14ac:dyDescent="0.2">
      <c r="A59" s="2" t="s">
        <v>897</v>
      </c>
      <c r="B59" s="2">
        <v>2014</v>
      </c>
      <c r="C59" s="2">
        <v>13</v>
      </c>
      <c r="D59" s="7">
        <v>5.8009000000000004</v>
      </c>
      <c r="E59" s="7">
        <v>0.85</v>
      </c>
      <c r="F59" s="2">
        <v>0</v>
      </c>
      <c r="G59" s="2">
        <v>-15</v>
      </c>
      <c r="H59" s="5">
        <v>0</v>
      </c>
    </row>
    <row r="60" spans="1:8" x14ac:dyDescent="0.2">
      <c r="A60" s="2" t="s">
        <v>1257</v>
      </c>
      <c r="B60" s="2">
        <v>2018</v>
      </c>
      <c r="C60" s="2">
        <v>13</v>
      </c>
      <c r="D60" s="7">
        <v>5.38</v>
      </c>
      <c r="E60" s="7">
        <v>-6.83</v>
      </c>
      <c r="F60" s="2"/>
      <c r="G60" s="2"/>
      <c r="H60" s="10"/>
    </row>
    <row r="61" spans="1:8" x14ac:dyDescent="0.2">
      <c r="A61" s="2" t="s">
        <v>1258</v>
      </c>
      <c r="B61" s="2">
        <v>2018</v>
      </c>
      <c r="C61" s="2">
        <v>13</v>
      </c>
      <c r="D61" s="7">
        <v>4.7300000000000004</v>
      </c>
      <c r="E61" s="7">
        <v>-7.46</v>
      </c>
      <c r="F61" s="2">
        <v>0</v>
      </c>
      <c r="G61" s="2">
        <v>-4</v>
      </c>
      <c r="H61" s="6">
        <v>0</v>
      </c>
    </row>
    <row r="62" spans="1:8" x14ac:dyDescent="0.2">
      <c r="A62" t="s">
        <v>388</v>
      </c>
      <c r="B62">
        <v>2009</v>
      </c>
      <c r="C62">
        <v>13</v>
      </c>
      <c r="D62" s="3">
        <v>4.7007000000000003</v>
      </c>
      <c r="E62" s="3">
        <v>-0.57999999999999996</v>
      </c>
      <c r="F62">
        <v>0</v>
      </c>
      <c r="G62">
        <v>-18</v>
      </c>
      <c r="H62" s="6">
        <v>0</v>
      </c>
    </row>
    <row r="63" spans="1:8" x14ac:dyDescent="0.2">
      <c r="A63" s="2" t="s">
        <v>468</v>
      </c>
      <c r="B63" s="2">
        <v>2017</v>
      </c>
      <c r="C63" s="2">
        <v>13</v>
      </c>
      <c r="D63" s="7">
        <v>4.63</v>
      </c>
      <c r="E63" s="2">
        <v>2.58</v>
      </c>
      <c r="F63" s="2">
        <v>0</v>
      </c>
      <c r="G63" s="2">
        <v>-12</v>
      </c>
      <c r="H63" s="5">
        <v>0</v>
      </c>
    </row>
    <row r="64" spans="1:8" x14ac:dyDescent="0.2">
      <c r="A64" t="s">
        <v>467</v>
      </c>
      <c r="B64">
        <v>2008</v>
      </c>
      <c r="C64">
        <v>13</v>
      </c>
      <c r="D64" s="3">
        <v>4.4062000000000001</v>
      </c>
      <c r="E64" s="3">
        <v>2.39</v>
      </c>
      <c r="F64">
        <v>1</v>
      </c>
      <c r="G64">
        <v>-8</v>
      </c>
      <c r="H64" s="6">
        <v>1</v>
      </c>
    </row>
    <row r="65" spans="1:8" x14ac:dyDescent="0.2">
      <c r="A65" t="s">
        <v>51</v>
      </c>
      <c r="B65">
        <v>2002</v>
      </c>
      <c r="C65">
        <v>13</v>
      </c>
      <c r="D65" s="3">
        <v>3.2856000000000001</v>
      </c>
      <c r="E65" s="3">
        <v>6.33</v>
      </c>
      <c r="F65">
        <v>0</v>
      </c>
      <c r="G65">
        <v>-5</v>
      </c>
      <c r="H65" s="6">
        <v>0</v>
      </c>
    </row>
    <row r="66" spans="1:8" x14ac:dyDescent="0.2">
      <c r="A66" t="s">
        <v>56</v>
      </c>
      <c r="B66">
        <v>2007</v>
      </c>
      <c r="C66">
        <v>13</v>
      </c>
      <c r="D66" s="3">
        <v>3.2454000000000001</v>
      </c>
      <c r="E66" s="3">
        <v>-0.89</v>
      </c>
      <c r="F66">
        <v>0</v>
      </c>
      <c r="G66">
        <v>-27</v>
      </c>
      <c r="H66" s="6">
        <v>0</v>
      </c>
    </row>
    <row r="67" spans="1:8" x14ac:dyDescent="0.2">
      <c r="A67" t="s">
        <v>472</v>
      </c>
      <c r="B67">
        <v>2003</v>
      </c>
      <c r="C67">
        <v>13</v>
      </c>
      <c r="D67" s="3">
        <v>3.1587999999999998</v>
      </c>
      <c r="E67" s="3">
        <v>5.19</v>
      </c>
      <c r="F67">
        <v>0</v>
      </c>
      <c r="G67">
        <v>-22</v>
      </c>
      <c r="H67" s="6">
        <v>0</v>
      </c>
    </row>
    <row r="68" spans="1:8" x14ac:dyDescent="0.2">
      <c r="A68" s="2" t="s">
        <v>760</v>
      </c>
      <c r="B68" s="4">
        <v>2015</v>
      </c>
      <c r="C68" s="2">
        <v>13</v>
      </c>
      <c r="D68" s="7">
        <v>2.9668999999999999</v>
      </c>
      <c r="E68" s="7">
        <v>1.1599999999999999</v>
      </c>
      <c r="F68" s="2">
        <v>0</v>
      </c>
      <c r="G68" s="2">
        <v>-10</v>
      </c>
      <c r="H68" s="5">
        <v>0</v>
      </c>
    </row>
    <row r="69" spans="1:8" x14ac:dyDescent="0.2">
      <c r="A69" s="2" t="s">
        <v>59</v>
      </c>
      <c r="B69">
        <v>2013</v>
      </c>
      <c r="C69">
        <v>13</v>
      </c>
      <c r="D69" s="7">
        <v>2.7361</v>
      </c>
      <c r="E69" s="3">
        <v>6.53</v>
      </c>
      <c r="F69">
        <v>0</v>
      </c>
      <c r="G69">
        <v>-47</v>
      </c>
      <c r="H69" s="6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69"/>
  <sheetViews>
    <sheetView topLeftCell="A28" workbookViewId="0">
      <selection activeCell="H12" sqref="H12"/>
    </sheetView>
  </sheetViews>
  <sheetFormatPr baseColWidth="10" defaultRowHeight="16" x14ac:dyDescent="0.2"/>
  <cols>
    <col min="1" max="1" width="21.83203125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1178</v>
      </c>
      <c r="E1" s="1" t="s">
        <v>1176</v>
      </c>
      <c r="F1" s="1" t="s">
        <v>65</v>
      </c>
      <c r="G1" s="1" t="s">
        <v>91</v>
      </c>
      <c r="H1" s="1" t="s">
        <v>92</v>
      </c>
    </row>
    <row r="2" spans="1:8" x14ac:dyDescent="0.2">
      <c r="A2" s="4" t="s">
        <v>228</v>
      </c>
      <c r="B2" s="4">
        <v>2005</v>
      </c>
      <c r="C2" s="4">
        <v>14</v>
      </c>
      <c r="D2" s="8">
        <v>19.940000000000001</v>
      </c>
      <c r="E2" s="8">
        <v>-2.2599999999999998</v>
      </c>
      <c r="F2" s="4">
        <v>0</v>
      </c>
      <c r="G2" s="4">
        <v>-13</v>
      </c>
      <c r="H2" s="9">
        <v>0</v>
      </c>
    </row>
    <row r="3" spans="1:8" x14ac:dyDescent="0.2">
      <c r="A3" s="4" t="s">
        <v>42</v>
      </c>
      <c r="B3" s="4">
        <v>2012</v>
      </c>
      <c r="C3" s="4">
        <v>14</v>
      </c>
      <c r="D3" s="8">
        <v>17.62</v>
      </c>
      <c r="E3" s="8">
        <v>3.43</v>
      </c>
      <c r="F3" s="4">
        <v>0</v>
      </c>
      <c r="G3" s="4">
        <v>-15</v>
      </c>
      <c r="H3" s="9">
        <v>0</v>
      </c>
    </row>
    <row r="4" spans="1:8" x14ac:dyDescent="0.2">
      <c r="A4" s="4" t="s">
        <v>390</v>
      </c>
      <c r="B4" s="4">
        <v>2016</v>
      </c>
      <c r="C4" s="4">
        <v>14</v>
      </c>
      <c r="D4" s="8">
        <v>14.43</v>
      </c>
      <c r="E4" s="8">
        <v>2.74</v>
      </c>
      <c r="F4" s="4">
        <v>1</v>
      </c>
      <c r="G4" s="4">
        <v>13</v>
      </c>
      <c r="H4" s="9">
        <v>14</v>
      </c>
    </row>
    <row r="5" spans="1:8" x14ac:dyDescent="0.2">
      <c r="A5" s="4" t="s">
        <v>83</v>
      </c>
      <c r="B5" s="4">
        <v>2012</v>
      </c>
      <c r="C5" s="4">
        <v>14</v>
      </c>
      <c r="D5" s="8">
        <v>12.88</v>
      </c>
      <c r="E5" s="8">
        <v>1.47</v>
      </c>
      <c r="F5" s="4">
        <v>0</v>
      </c>
      <c r="G5" s="4">
        <v>-20</v>
      </c>
      <c r="H5" s="9">
        <v>0</v>
      </c>
    </row>
    <row r="6" spans="1:8" x14ac:dyDescent="0.2">
      <c r="A6" s="4" t="s">
        <v>76</v>
      </c>
      <c r="B6" s="4">
        <v>2006</v>
      </c>
      <c r="C6" s="4">
        <v>14</v>
      </c>
      <c r="D6" s="8">
        <v>12.75</v>
      </c>
      <c r="E6" s="8">
        <v>-1</v>
      </c>
      <c r="F6" s="4">
        <v>0</v>
      </c>
      <c r="G6" s="4">
        <v>-4</v>
      </c>
      <c r="H6" s="9">
        <v>0</v>
      </c>
    </row>
    <row r="7" spans="1:8" x14ac:dyDescent="0.2">
      <c r="A7" s="4" t="s">
        <v>389</v>
      </c>
      <c r="B7" s="4">
        <v>2009</v>
      </c>
      <c r="C7" s="4">
        <v>14</v>
      </c>
      <c r="D7" s="8">
        <v>12.13</v>
      </c>
      <c r="E7" s="8">
        <v>0.35</v>
      </c>
      <c r="F7" s="4">
        <v>0</v>
      </c>
      <c r="G7" s="4">
        <v>-10</v>
      </c>
      <c r="H7" s="9">
        <v>0</v>
      </c>
    </row>
    <row r="8" spans="1:8" x14ac:dyDescent="0.2">
      <c r="A8" s="4" t="s">
        <v>52</v>
      </c>
      <c r="B8" s="4">
        <v>2013</v>
      </c>
      <c r="C8" s="4">
        <v>14</v>
      </c>
      <c r="D8" s="8">
        <v>11.9</v>
      </c>
      <c r="E8" s="8">
        <v>-3.17</v>
      </c>
      <c r="F8" s="4">
        <v>0</v>
      </c>
      <c r="G8" s="4">
        <v>-11</v>
      </c>
      <c r="H8" s="9">
        <v>0</v>
      </c>
    </row>
    <row r="9" spans="1:8" x14ac:dyDescent="0.2">
      <c r="A9" s="4" t="s">
        <v>50</v>
      </c>
      <c r="B9" s="4">
        <v>2012</v>
      </c>
      <c r="C9" s="4">
        <v>14</v>
      </c>
      <c r="D9" s="8">
        <v>11.76</v>
      </c>
      <c r="E9" s="8">
        <v>0.49</v>
      </c>
      <c r="F9" s="4">
        <v>0</v>
      </c>
      <c r="G9" s="4">
        <v>-8</v>
      </c>
      <c r="H9" s="9">
        <v>0</v>
      </c>
    </row>
    <row r="10" spans="1:8" x14ac:dyDescent="0.2">
      <c r="A10" s="4" t="s">
        <v>82</v>
      </c>
      <c r="B10" s="4">
        <v>2012</v>
      </c>
      <c r="C10" s="4">
        <v>14</v>
      </c>
      <c r="D10" s="8">
        <v>11.65</v>
      </c>
      <c r="E10" s="8">
        <v>-0.45</v>
      </c>
      <c r="F10" s="4">
        <v>0</v>
      </c>
      <c r="G10" s="4">
        <v>-3</v>
      </c>
      <c r="H10" s="9">
        <v>0</v>
      </c>
    </row>
    <row r="11" spans="1:8" x14ac:dyDescent="0.2">
      <c r="A11" s="4" t="s">
        <v>51</v>
      </c>
      <c r="B11" s="4">
        <v>2013</v>
      </c>
      <c r="C11" s="4">
        <v>14</v>
      </c>
      <c r="D11" s="8">
        <v>11.2</v>
      </c>
      <c r="E11" s="8">
        <v>5.73</v>
      </c>
      <c r="F11" s="4">
        <v>0</v>
      </c>
      <c r="G11" s="4">
        <v>-1</v>
      </c>
      <c r="H11" s="9">
        <v>0</v>
      </c>
    </row>
    <row r="12" spans="1:8" x14ac:dyDescent="0.2">
      <c r="A12" s="2" t="s">
        <v>59</v>
      </c>
      <c r="B12" s="2">
        <v>2018</v>
      </c>
      <c r="C12" s="2">
        <v>14</v>
      </c>
      <c r="D12" s="7">
        <v>10.83</v>
      </c>
      <c r="E12" s="7">
        <v>2.52</v>
      </c>
      <c r="F12" s="4">
        <v>0</v>
      </c>
      <c r="G12" s="4">
        <v>-14</v>
      </c>
      <c r="H12" s="9">
        <v>0</v>
      </c>
    </row>
    <row r="13" spans="1:8" x14ac:dyDescent="0.2">
      <c r="A13" s="4" t="s">
        <v>686</v>
      </c>
      <c r="B13" s="4">
        <v>2004</v>
      </c>
      <c r="C13" s="4">
        <v>14</v>
      </c>
      <c r="D13" s="8">
        <v>10.28</v>
      </c>
      <c r="E13" s="8">
        <v>7.94</v>
      </c>
      <c r="F13" s="4">
        <v>0</v>
      </c>
      <c r="G13" s="4">
        <v>-9</v>
      </c>
      <c r="H13" s="9">
        <v>0</v>
      </c>
    </row>
    <row r="14" spans="1:8" x14ac:dyDescent="0.2">
      <c r="A14" s="4" t="s">
        <v>541</v>
      </c>
      <c r="B14" s="4">
        <v>2003</v>
      </c>
      <c r="C14" s="4">
        <v>14</v>
      </c>
      <c r="D14" s="8">
        <v>10</v>
      </c>
      <c r="E14" s="8">
        <v>-2.4</v>
      </c>
      <c r="F14" s="4">
        <v>0</v>
      </c>
      <c r="G14" s="4">
        <v>-4</v>
      </c>
      <c r="H14" s="9">
        <v>0</v>
      </c>
    </row>
    <row r="15" spans="1:8" x14ac:dyDescent="0.2">
      <c r="A15" s="4" t="s">
        <v>970</v>
      </c>
      <c r="B15" s="4">
        <v>2015</v>
      </c>
      <c r="C15" s="4">
        <v>14</v>
      </c>
      <c r="D15" s="8">
        <v>9.89</v>
      </c>
      <c r="E15" s="8">
        <v>1.06</v>
      </c>
      <c r="F15" s="4">
        <v>1</v>
      </c>
      <c r="G15" s="4">
        <v>-7</v>
      </c>
      <c r="H15" s="9">
        <v>1</v>
      </c>
    </row>
    <row r="16" spans="1:8" x14ac:dyDescent="0.2">
      <c r="A16" s="4" t="s">
        <v>464</v>
      </c>
      <c r="B16" s="4">
        <v>2006</v>
      </c>
      <c r="C16" s="4">
        <v>14</v>
      </c>
      <c r="D16" s="8">
        <v>9.75</v>
      </c>
      <c r="E16" s="8">
        <v>-4.12</v>
      </c>
      <c r="F16" s="4">
        <v>0</v>
      </c>
      <c r="G16" s="4">
        <v>-26</v>
      </c>
      <c r="H16" s="9">
        <v>0</v>
      </c>
    </row>
    <row r="17" spans="1:8" x14ac:dyDescent="0.2">
      <c r="A17" s="4" t="s">
        <v>758</v>
      </c>
      <c r="B17" s="4">
        <v>2003</v>
      </c>
      <c r="C17" s="4">
        <v>14</v>
      </c>
      <c r="D17" s="8">
        <v>9.7200000000000006</v>
      </c>
      <c r="E17" s="8">
        <v>-0.71</v>
      </c>
      <c r="F17" s="4">
        <v>0</v>
      </c>
      <c r="G17" s="4">
        <v>-11</v>
      </c>
      <c r="H17" s="9">
        <v>0</v>
      </c>
    </row>
    <row r="18" spans="1:8" x14ac:dyDescent="0.2">
      <c r="A18" s="4" t="s">
        <v>1080</v>
      </c>
      <c r="B18" s="4">
        <v>2002</v>
      </c>
      <c r="C18" s="4">
        <v>14</v>
      </c>
      <c r="D18" s="8">
        <v>8.8800000000000008</v>
      </c>
      <c r="E18" s="8">
        <v>2.86</v>
      </c>
      <c r="F18" s="4">
        <v>0</v>
      </c>
      <c r="G18" s="4">
        <v>-5</v>
      </c>
      <c r="H18" s="9">
        <v>0</v>
      </c>
    </row>
    <row r="19" spans="1:8" x14ac:dyDescent="0.2">
      <c r="A19" s="4" t="s">
        <v>466</v>
      </c>
      <c r="B19" s="4">
        <v>2007</v>
      </c>
      <c r="C19" s="4">
        <v>14</v>
      </c>
      <c r="D19" s="8">
        <v>8.83</v>
      </c>
      <c r="E19" s="8">
        <v>4.04</v>
      </c>
      <c r="F19" s="4">
        <v>0</v>
      </c>
      <c r="G19" s="4">
        <v>-16</v>
      </c>
      <c r="H19" s="9">
        <v>0</v>
      </c>
    </row>
    <row r="20" spans="1:8" x14ac:dyDescent="0.2">
      <c r="A20" s="4" t="s">
        <v>469</v>
      </c>
      <c r="B20" s="4">
        <v>2008</v>
      </c>
      <c r="C20" s="4">
        <v>14</v>
      </c>
      <c r="D20" s="8">
        <v>8.6300000000000008</v>
      </c>
      <c r="E20" s="8">
        <v>-3.05</v>
      </c>
      <c r="F20" s="4">
        <v>0</v>
      </c>
      <c r="G20" s="4">
        <v>-15</v>
      </c>
      <c r="H20" s="9">
        <v>0</v>
      </c>
    </row>
    <row r="21" spans="1:8" x14ac:dyDescent="0.2">
      <c r="A21" s="4" t="s">
        <v>59</v>
      </c>
      <c r="B21" s="4">
        <v>2010</v>
      </c>
      <c r="C21" s="4">
        <v>14</v>
      </c>
      <c r="D21" s="8">
        <v>8.3699999999999992</v>
      </c>
      <c r="E21" s="8">
        <v>-0.9</v>
      </c>
      <c r="F21" s="4">
        <v>0</v>
      </c>
      <c r="G21" s="4">
        <v>-5</v>
      </c>
      <c r="H21" s="9">
        <v>0</v>
      </c>
    </row>
    <row r="22" spans="1:8" x14ac:dyDescent="0.2">
      <c r="A22" s="4" t="s">
        <v>898</v>
      </c>
      <c r="B22" s="4">
        <v>2014</v>
      </c>
      <c r="C22" s="4">
        <v>14</v>
      </c>
      <c r="D22" s="8">
        <v>8.31</v>
      </c>
      <c r="E22" s="8">
        <v>-3.58</v>
      </c>
      <c r="F22" s="4">
        <v>0</v>
      </c>
      <c r="G22" s="4">
        <v>-18</v>
      </c>
      <c r="H22" s="9">
        <v>0</v>
      </c>
    </row>
    <row r="23" spans="1:8" x14ac:dyDescent="0.2">
      <c r="A23" s="4" t="s">
        <v>304</v>
      </c>
      <c r="B23" s="4">
        <v>2004</v>
      </c>
      <c r="C23" s="4">
        <v>14</v>
      </c>
      <c r="D23" s="8">
        <v>8.18</v>
      </c>
      <c r="E23" s="8">
        <v>1.19</v>
      </c>
      <c r="F23" s="4">
        <v>0</v>
      </c>
      <c r="G23" s="4">
        <v>-5</v>
      </c>
      <c r="H23" s="9">
        <v>0</v>
      </c>
    </row>
    <row r="24" spans="1:8" x14ac:dyDescent="0.2">
      <c r="A24" s="4" t="s">
        <v>71</v>
      </c>
      <c r="B24" s="4">
        <v>2006</v>
      </c>
      <c r="C24" s="4">
        <v>14</v>
      </c>
      <c r="D24" s="8">
        <v>8.11</v>
      </c>
      <c r="E24" s="8">
        <v>4.88</v>
      </c>
      <c r="F24" s="4">
        <v>0</v>
      </c>
      <c r="G24" s="4">
        <v>-4</v>
      </c>
      <c r="H24" s="9">
        <v>0</v>
      </c>
    </row>
    <row r="25" spans="1:8" x14ac:dyDescent="0.2">
      <c r="A25" s="4" t="s">
        <v>544</v>
      </c>
      <c r="B25" s="4">
        <v>2007</v>
      </c>
      <c r="C25" s="4">
        <v>14</v>
      </c>
      <c r="D25" s="8">
        <v>7.9</v>
      </c>
      <c r="E25" s="8">
        <v>2.0499999999999998</v>
      </c>
      <c r="F25" s="4">
        <v>0</v>
      </c>
      <c r="G25" s="4">
        <v>-16</v>
      </c>
      <c r="H25" s="9">
        <v>0</v>
      </c>
    </row>
    <row r="26" spans="1:8" x14ac:dyDescent="0.2">
      <c r="A26" s="4" t="s">
        <v>542</v>
      </c>
      <c r="B26" s="4">
        <v>2007</v>
      </c>
      <c r="C26" s="4">
        <v>14</v>
      </c>
      <c r="D26" s="8">
        <v>7.85</v>
      </c>
      <c r="E26" s="8">
        <v>5.52</v>
      </c>
      <c r="F26" s="4">
        <v>0</v>
      </c>
      <c r="G26" s="4">
        <v>-2</v>
      </c>
      <c r="H26" s="9">
        <v>0</v>
      </c>
    </row>
    <row r="27" spans="1:8" x14ac:dyDescent="0.2">
      <c r="A27" s="4" t="s">
        <v>227</v>
      </c>
      <c r="B27" s="4">
        <v>2008</v>
      </c>
      <c r="C27" s="4">
        <v>14</v>
      </c>
      <c r="D27" s="8">
        <v>7.71</v>
      </c>
      <c r="E27" s="8">
        <v>-1.66</v>
      </c>
      <c r="F27" s="4">
        <v>0</v>
      </c>
      <c r="G27" s="4">
        <v>-12</v>
      </c>
      <c r="H27" s="9">
        <v>0</v>
      </c>
    </row>
    <row r="28" spans="1:8" x14ac:dyDescent="0.2">
      <c r="A28" s="4" t="s">
        <v>234</v>
      </c>
      <c r="B28" s="4">
        <v>2011</v>
      </c>
      <c r="C28" s="4">
        <v>14</v>
      </c>
      <c r="D28" s="8">
        <v>7.51</v>
      </c>
      <c r="E28" s="8">
        <v>5.54</v>
      </c>
      <c r="F28" s="4">
        <v>0</v>
      </c>
      <c r="G28" s="4">
        <v>-8</v>
      </c>
      <c r="H28" s="9">
        <v>0</v>
      </c>
    </row>
    <row r="29" spans="1:8" x14ac:dyDescent="0.2">
      <c r="A29" s="4" t="s">
        <v>899</v>
      </c>
      <c r="B29" s="4">
        <v>2014</v>
      </c>
      <c r="C29" s="4">
        <v>14</v>
      </c>
      <c r="D29" s="8">
        <v>7.5</v>
      </c>
      <c r="E29" s="8">
        <v>3.32</v>
      </c>
      <c r="F29" s="4">
        <v>1</v>
      </c>
      <c r="G29" s="4">
        <v>-13</v>
      </c>
      <c r="H29" s="9">
        <v>7</v>
      </c>
    </row>
    <row r="30" spans="1:8" x14ac:dyDescent="0.2">
      <c r="A30" s="4" t="s">
        <v>43</v>
      </c>
      <c r="B30" s="4">
        <v>2011</v>
      </c>
      <c r="C30" s="4">
        <v>14</v>
      </c>
      <c r="D30" s="8">
        <v>7.42</v>
      </c>
      <c r="E30" s="8">
        <v>-0.11</v>
      </c>
      <c r="F30" s="4">
        <v>0</v>
      </c>
      <c r="G30" s="4">
        <v>-29</v>
      </c>
      <c r="H30" s="9">
        <v>0</v>
      </c>
    </row>
    <row r="31" spans="1:8" x14ac:dyDescent="0.2">
      <c r="A31" s="2" t="s">
        <v>49</v>
      </c>
      <c r="B31" s="2">
        <v>2017</v>
      </c>
      <c r="C31" s="2">
        <v>14</v>
      </c>
      <c r="D31" s="7">
        <v>7.32</v>
      </c>
      <c r="E31" s="2">
        <v>-4.5</v>
      </c>
      <c r="F31" s="2">
        <v>0</v>
      </c>
      <c r="G31" s="2">
        <v>-18</v>
      </c>
      <c r="H31" s="5">
        <v>0</v>
      </c>
    </row>
    <row r="32" spans="1:8" x14ac:dyDescent="0.2">
      <c r="A32" s="4" t="s">
        <v>81</v>
      </c>
      <c r="B32" s="4">
        <v>2010</v>
      </c>
      <c r="C32" s="4">
        <v>14</v>
      </c>
      <c r="D32" s="8">
        <v>7.17</v>
      </c>
      <c r="E32" s="8">
        <v>0.15</v>
      </c>
      <c r="F32" s="4">
        <v>1</v>
      </c>
      <c r="G32" s="4">
        <v>-1</v>
      </c>
      <c r="H32" s="9">
        <v>14</v>
      </c>
    </row>
    <row r="33" spans="1:8" x14ac:dyDescent="0.2">
      <c r="A33" s="4" t="s">
        <v>311</v>
      </c>
      <c r="B33" s="4">
        <v>2010</v>
      </c>
      <c r="C33" s="4">
        <v>14</v>
      </c>
      <c r="D33" s="8">
        <v>7.15</v>
      </c>
      <c r="E33" s="8">
        <v>2.39</v>
      </c>
      <c r="F33" s="4">
        <v>0</v>
      </c>
      <c r="G33" s="4">
        <v>-9</v>
      </c>
      <c r="H33" s="9">
        <v>0</v>
      </c>
    </row>
    <row r="34" spans="1:8" x14ac:dyDescent="0.2">
      <c r="A34" s="4" t="s">
        <v>0</v>
      </c>
      <c r="B34" s="4">
        <v>2006</v>
      </c>
      <c r="C34" s="4">
        <v>14</v>
      </c>
      <c r="D34" s="8">
        <v>7.04</v>
      </c>
      <c r="E34" s="8">
        <v>5.77</v>
      </c>
      <c r="F34" s="4">
        <v>1</v>
      </c>
      <c r="G34" s="4">
        <v>-12</v>
      </c>
      <c r="H34" s="9">
        <v>1</v>
      </c>
    </row>
    <row r="35" spans="1:8" x14ac:dyDescent="0.2">
      <c r="A35" s="4" t="s">
        <v>543</v>
      </c>
      <c r="B35" s="4">
        <v>2007</v>
      </c>
      <c r="C35" s="4">
        <v>14</v>
      </c>
      <c r="D35" s="8">
        <v>6.93</v>
      </c>
      <c r="E35" s="8">
        <v>-3.02</v>
      </c>
      <c r="F35" s="4">
        <v>0</v>
      </c>
      <c r="G35" s="4">
        <v>-21</v>
      </c>
      <c r="H35" s="9">
        <v>0</v>
      </c>
    </row>
    <row r="36" spans="1:8" x14ac:dyDescent="0.2">
      <c r="A36" s="4" t="s">
        <v>53</v>
      </c>
      <c r="B36" s="4">
        <v>2013</v>
      </c>
      <c r="C36" s="4">
        <v>14</v>
      </c>
      <c r="D36" s="8">
        <v>6.93</v>
      </c>
      <c r="E36" s="8">
        <v>4.32</v>
      </c>
      <c r="F36" s="4">
        <v>1</v>
      </c>
      <c r="G36" s="4">
        <v>-17</v>
      </c>
      <c r="H36" s="9">
        <v>6</v>
      </c>
    </row>
    <row r="37" spans="1:8" x14ac:dyDescent="0.2">
      <c r="A37" s="2" t="s">
        <v>43</v>
      </c>
      <c r="B37" s="2">
        <v>2018</v>
      </c>
      <c r="C37" s="2">
        <v>14</v>
      </c>
      <c r="D37" s="7">
        <v>6.81</v>
      </c>
      <c r="E37" s="7">
        <v>6.15</v>
      </c>
      <c r="F37" s="2">
        <v>0</v>
      </c>
      <c r="G37" s="2">
        <v>-4</v>
      </c>
      <c r="H37" s="6">
        <v>0</v>
      </c>
    </row>
    <row r="38" spans="1:8" x14ac:dyDescent="0.2">
      <c r="A38" s="4" t="s">
        <v>390</v>
      </c>
      <c r="B38" s="4">
        <v>2009</v>
      </c>
      <c r="C38" s="4">
        <v>14</v>
      </c>
      <c r="D38" s="8">
        <v>6.67</v>
      </c>
      <c r="E38" s="8">
        <v>1.5</v>
      </c>
      <c r="F38" s="4">
        <v>0</v>
      </c>
      <c r="G38" s="4">
        <v>-15</v>
      </c>
      <c r="H38" s="9">
        <v>0</v>
      </c>
    </row>
    <row r="39" spans="1:8" x14ac:dyDescent="0.2">
      <c r="A39" s="4" t="s">
        <v>1072</v>
      </c>
      <c r="B39" s="4">
        <v>2016</v>
      </c>
      <c r="C39" s="4">
        <v>14</v>
      </c>
      <c r="D39" s="8">
        <v>6.67</v>
      </c>
      <c r="E39" s="8">
        <v>-0.84</v>
      </c>
      <c r="F39" s="4">
        <v>0</v>
      </c>
      <c r="G39" s="4">
        <v>-11</v>
      </c>
      <c r="H39" s="9">
        <v>0</v>
      </c>
    </row>
    <row r="40" spans="1:8" x14ac:dyDescent="0.2">
      <c r="A40" s="4" t="s">
        <v>30</v>
      </c>
      <c r="B40" s="4">
        <v>2003</v>
      </c>
      <c r="C40" s="4">
        <v>14</v>
      </c>
      <c r="D40" s="8">
        <v>6.23</v>
      </c>
      <c r="E40" s="8">
        <v>-0.6</v>
      </c>
      <c r="F40" s="4">
        <v>0</v>
      </c>
      <c r="G40" s="4">
        <v>-10</v>
      </c>
      <c r="H40" s="9">
        <v>0</v>
      </c>
    </row>
    <row r="41" spans="1:8" x14ac:dyDescent="0.2">
      <c r="A41" s="4" t="s">
        <v>904</v>
      </c>
      <c r="B41" s="4">
        <v>2003</v>
      </c>
      <c r="C41" s="4">
        <v>14</v>
      </c>
      <c r="D41" s="8">
        <v>6.17</v>
      </c>
      <c r="E41" s="8">
        <v>-4.82</v>
      </c>
      <c r="F41" s="4">
        <v>0</v>
      </c>
      <c r="G41" s="4">
        <v>-12</v>
      </c>
      <c r="H41" s="9">
        <v>0</v>
      </c>
    </row>
    <row r="42" spans="1:8" x14ac:dyDescent="0.2">
      <c r="A42" s="4" t="s">
        <v>43</v>
      </c>
      <c r="B42" s="4">
        <v>2005</v>
      </c>
      <c r="C42" s="4">
        <v>14</v>
      </c>
      <c r="D42" s="8">
        <v>5.73</v>
      </c>
      <c r="E42" s="8">
        <v>1.19</v>
      </c>
      <c r="F42" s="4">
        <v>1</v>
      </c>
      <c r="G42" s="4">
        <v>-8</v>
      </c>
      <c r="H42" s="9">
        <v>1</v>
      </c>
    </row>
    <row r="43" spans="1:8" x14ac:dyDescent="0.2">
      <c r="A43" s="4" t="s">
        <v>688</v>
      </c>
      <c r="B43" s="4">
        <v>2004</v>
      </c>
      <c r="C43" s="4">
        <v>14</v>
      </c>
      <c r="D43" s="8">
        <v>5.68</v>
      </c>
      <c r="E43" s="8">
        <v>-5.45</v>
      </c>
      <c r="F43" s="4">
        <v>0</v>
      </c>
      <c r="G43" s="4">
        <v>-9</v>
      </c>
      <c r="H43" s="9">
        <v>0</v>
      </c>
    </row>
    <row r="44" spans="1:8" x14ac:dyDescent="0.2">
      <c r="A44" s="2" t="s">
        <v>390</v>
      </c>
      <c r="B44" s="2">
        <v>2018</v>
      </c>
      <c r="C44" s="2">
        <v>14</v>
      </c>
      <c r="D44" s="7">
        <v>5.56</v>
      </c>
      <c r="E44" s="7">
        <v>-2.0499999999999998</v>
      </c>
      <c r="F44" s="4">
        <v>0</v>
      </c>
      <c r="G44" s="4">
        <v>-10</v>
      </c>
      <c r="H44" s="9">
        <v>0</v>
      </c>
    </row>
    <row r="45" spans="1:8" x14ac:dyDescent="0.2">
      <c r="A45" s="4" t="s">
        <v>547</v>
      </c>
      <c r="B45" s="4">
        <v>2005</v>
      </c>
      <c r="C45" s="4">
        <v>14</v>
      </c>
      <c r="D45" s="8">
        <v>5.39</v>
      </c>
      <c r="E45" s="8">
        <v>0.86</v>
      </c>
      <c r="F45" s="4">
        <v>0</v>
      </c>
      <c r="G45" s="4">
        <v>-17</v>
      </c>
      <c r="H45" s="9">
        <v>0</v>
      </c>
    </row>
    <row r="46" spans="1:8" x14ac:dyDescent="0.2">
      <c r="A46" s="4" t="s">
        <v>232</v>
      </c>
      <c r="B46" s="4">
        <v>2004</v>
      </c>
      <c r="C46" s="4">
        <v>14</v>
      </c>
      <c r="D46" s="8">
        <v>5.38</v>
      </c>
      <c r="E46" s="8">
        <v>-1.28</v>
      </c>
      <c r="F46" s="4">
        <v>0</v>
      </c>
      <c r="G46" s="4">
        <v>-17</v>
      </c>
      <c r="H46" s="9">
        <v>0</v>
      </c>
    </row>
    <row r="47" spans="1:8" x14ac:dyDescent="0.2">
      <c r="A47" s="4" t="s">
        <v>308</v>
      </c>
      <c r="B47" s="4">
        <v>2009</v>
      </c>
      <c r="C47" s="4">
        <v>14</v>
      </c>
      <c r="D47" s="8">
        <v>5.3</v>
      </c>
      <c r="E47" s="8">
        <v>-1.33</v>
      </c>
      <c r="F47" s="4">
        <v>0</v>
      </c>
      <c r="G47" s="4">
        <v>-19</v>
      </c>
      <c r="H47" s="9">
        <v>0</v>
      </c>
    </row>
    <row r="48" spans="1:8" x14ac:dyDescent="0.2">
      <c r="A48" s="4" t="s">
        <v>308</v>
      </c>
      <c r="B48" s="4">
        <v>2008</v>
      </c>
      <c r="C48" s="4">
        <v>14</v>
      </c>
      <c r="D48" s="8">
        <v>5.03</v>
      </c>
      <c r="E48" s="8">
        <v>-3.45</v>
      </c>
      <c r="F48" s="4">
        <v>0</v>
      </c>
      <c r="G48" s="4">
        <v>-24</v>
      </c>
      <c r="H48" s="9">
        <v>0</v>
      </c>
    </row>
    <row r="49" spans="1:8" x14ac:dyDescent="0.2">
      <c r="A49" s="2" t="s">
        <v>54</v>
      </c>
      <c r="B49" s="2">
        <v>2017</v>
      </c>
      <c r="C49" s="2">
        <v>14</v>
      </c>
      <c r="D49" s="7">
        <v>5.01</v>
      </c>
      <c r="E49" s="2">
        <v>2.69</v>
      </c>
      <c r="F49" s="2">
        <v>0</v>
      </c>
      <c r="G49" s="2">
        <v>-6</v>
      </c>
      <c r="H49" s="5">
        <v>0</v>
      </c>
    </row>
    <row r="50" spans="1:8" x14ac:dyDescent="0.2">
      <c r="A50" s="4" t="s">
        <v>1078</v>
      </c>
      <c r="B50" s="4">
        <v>2002</v>
      </c>
      <c r="C50" s="4">
        <v>14</v>
      </c>
      <c r="D50" s="8">
        <v>4.96</v>
      </c>
      <c r="E50" s="8">
        <v>7.24</v>
      </c>
      <c r="F50" s="4">
        <v>0</v>
      </c>
      <c r="G50" s="4">
        <v>-12</v>
      </c>
      <c r="H50" s="9">
        <v>0</v>
      </c>
    </row>
    <row r="51" spans="1:8" x14ac:dyDescent="0.2">
      <c r="A51" s="4" t="s">
        <v>468</v>
      </c>
      <c r="B51" s="4">
        <v>2005</v>
      </c>
      <c r="C51" s="4">
        <v>14</v>
      </c>
      <c r="D51" s="8">
        <v>4.93</v>
      </c>
      <c r="E51" s="8">
        <v>7.0000000000000007E-2</v>
      </c>
      <c r="F51" s="4">
        <v>0</v>
      </c>
      <c r="G51" s="4">
        <v>-10</v>
      </c>
      <c r="H51" s="9">
        <v>0</v>
      </c>
    </row>
    <row r="52" spans="1:8" x14ac:dyDescent="0.2">
      <c r="A52" s="4" t="s">
        <v>969</v>
      </c>
      <c r="B52" s="4">
        <v>2015</v>
      </c>
      <c r="C52" s="4">
        <v>14</v>
      </c>
      <c r="D52" s="8">
        <v>4.8099999999999996</v>
      </c>
      <c r="E52" s="8">
        <v>0.4</v>
      </c>
      <c r="F52" s="4">
        <v>0</v>
      </c>
      <c r="G52" s="4">
        <v>-4</v>
      </c>
      <c r="H52" s="9">
        <v>0</v>
      </c>
    </row>
    <row r="53" spans="1:8" x14ac:dyDescent="0.2">
      <c r="A53" s="4" t="s">
        <v>901</v>
      </c>
      <c r="B53" s="4">
        <v>2014</v>
      </c>
      <c r="C53" s="4">
        <v>14</v>
      </c>
      <c r="D53" s="8">
        <v>4.79</v>
      </c>
      <c r="E53" s="8">
        <v>3.39</v>
      </c>
      <c r="F53" s="4">
        <v>0</v>
      </c>
      <c r="G53" s="4">
        <v>-10</v>
      </c>
      <c r="H53" s="9">
        <v>0</v>
      </c>
    </row>
    <row r="54" spans="1:8" x14ac:dyDescent="0.2">
      <c r="A54" s="4" t="s">
        <v>235</v>
      </c>
      <c r="B54" s="4">
        <v>2011</v>
      </c>
      <c r="C54" s="4">
        <v>14</v>
      </c>
      <c r="D54" s="8">
        <v>4.5199999999999996</v>
      </c>
      <c r="E54" s="8">
        <v>1.69</v>
      </c>
      <c r="F54" s="4">
        <v>0</v>
      </c>
      <c r="G54" s="4">
        <v>-17</v>
      </c>
      <c r="H54" s="9">
        <v>0</v>
      </c>
    </row>
    <row r="55" spans="1:8" x14ac:dyDescent="0.2">
      <c r="A55" s="4" t="s">
        <v>757</v>
      </c>
      <c r="B55" s="4">
        <v>2014</v>
      </c>
      <c r="C55" s="4">
        <v>14</v>
      </c>
      <c r="D55" s="8">
        <v>4.4000000000000004</v>
      </c>
      <c r="E55" s="8">
        <v>-3.09</v>
      </c>
      <c r="F55" s="4">
        <v>0</v>
      </c>
      <c r="G55" s="4">
        <v>-24</v>
      </c>
      <c r="H55" s="9">
        <v>0</v>
      </c>
    </row>
    <row r="56" spans="1:8" x14ac:dyDescent="0.2">
      <c r="A56" s="4" t="s">
        <v>391</v>
      </c>
      <c r="B56" s="4">
        <v>2009</v>
      </c>
      <c r="C56" s="4">
        <v>14</v>
      </c>
      <c r="D56" s="8">
        <v>4.38</v>
      </c>
      <c r="E56" s="8">
        <v>-2.38</v>
      </c>
      <c r="F56" s="4">
        <v>0</v>
      </c>
      <c r="G56" s="4">
        <v>-13</v>
      </c>
      <c r="H56" s="9">
        <v>0</v>
      </c>
    </row>
    <row r="57" spans="1:8" x14ac:dyDescent="0.2">
      <c r="A57" s="4" t="s">
        <v>470</v>
      </c>
      <c r="B57" s="4">
        <v>2008</v>
      </c>
      <c r="C57" s="4">
        <v>14</v>
      </c>
      <c r="D57" s="8">
        <v>4.03</v>
      </c>
      <c r="E57" s="8">
        <v>-3.95</v>
      </c>
      <c r="F57" s="4">
        <v>0</v>
      </c>
      <c r="G57" s="4">
        <v>-18</v>
      </c>
      <c r="H57" s="9">
        <v>0</v>
      </c>
    </row>
    <row r="58" spans="1:8" x14ac:dyDescent="0.2">
      <c r="A58" s="2" t="s">
        <v>55</v>
      </c>
      <c r="B58" s="2">
        <v>2017</v>
      </c>
      <c r="C58" s="2">
        <v>14</v>
      </c>
      <c r="D58" s="7">
        <v>4</v>
      </c>
      <c r="E58" s="2">
        <v>0.27</v>
      </c>
      <c r="F58" s="2">
        <v>0</v>
      </c>
      <c r="G58" s="2">
        <v>-16</v>
      </c>
      <c r="H58" s="5">
        <v>0</v>
      </c>
    </row>
    <row r="59" spans="1:8" x14ac:dyDescent="0.2">
      <c r="A59" s="4" t="s">
        <v>1071</v>
      </c>
      <c r="B59" s="4">
        <v>2016</v>
      </c>
      <c r="C59" s="4">
        <v>14</v>
      </c>
      <c r="D59" s="8">
        <v>3.98</v>
      </c>
      <c r="E59" s="8">
        <v>0.18</v>
      </c>
      <c r="F59" s="4">
        <v>0</v>
      </c>
      <c r="G59" s="4">
        <v>-27</v>
      </c>
      <c r="H59" s="9">
        <v>0</v>
      </c>
    </row>
    <row r="60" spans="1:8" x14ac:dyDescent="0.2">
      <c r="A60" s="4" t="s">
        <v>231</v>
      </c>
      <c r="B60" s="4">
        <v>2010</v>
      </c>
      <c r="C60" s="4">
        <v>14</v>
      </c>
      <c r="D60" s="8">
        <v>3.71</v>
      </c>
      <c r="E60" s="8">
        <v>7.69</v>
      </c>
      <c r="F60" s="4">
        <v>0</v>
      </c>
      <c r="G60" s="4">
        <v>-23</v>
      </c>
      <c r="H60" s="9">
        <v>0</v>
      </c>
    </row>
    <row r="61" spans="1:8" x14ac:dyDescent="0.2">
      <c r="A61" s="4" t="s">
        <v>0</v>
      </c>
      <c r="B61" s="4">
        <v>2013</v>
      </c>
      <c r="C61" s="4">
        <v>14</v>
      </c>
      <c r="D61" s="8">
        <v>3.23</v>
      </c>
      <c r="E61" s="8">
        <v>4.6399999999999997</v>
      </c>
      <c r="F61" s="4">
        <v>0</v>
      </c>
      <c r="G61" s="4">
        <v>-32</v>
      </c>
      <c r="H61" s="9">
        <v>0</v>
      </c>
    </row>
    <row r="62" spans="1:8" x14ac:dyDescent="0.2">
      <c r="A62" s="4" t="s">
        <v>236</v>
      </c>
      <c r="B62" s="4">
        <v>2011</v>
      </c>
      <c r="C62" s="4">
        <v>14</v>
      </c>
      <c r="D62" s="8">
        <v>3.11</v>
      </c>
      <c r="E62" s="8">
        <v>1.85</v>
      </c>
      <c r="F62" s="4">
        <v>0</v>
      </c>
      <c r="G62" s="4">
        <v>-22</v>
      </c>
      <c r="H62" s="9">
        <v>0</v>
      </c>
    </row>
    <row r="63" spans="1:8" x14ac:dyDescent="0.2">
      <c r="A63" s="4" t="s">
        <v>56</v>
      </c>
      <c r="B63" s="4">
        <v>2015</v>
      </c>
      <c r="C63" s="4">
        <v>14</v>
      </c>
      <c r="D63" s="8">
        <v>3.07</v>
      </c>
      <c r="E63" s="8">
        <v>-2.2200000000000002</v>
      </c>
      <c r="F63" s="4">
        <v>0</v>
      </c>
      <c r="G63" s="4">
        <v>-9</v>
      </c>
      <c r="H63" s="9">
        <v>0</v>
      </c>
    </row>
    <row r="64" spans="1:8" x14ac:dyDescent="0.2">
      <c r="A64" s="4" t="s">
        <v>616</v>
      </c>
      <c r="B64" s="4">
        <v>2015</v>
      </c>
      <c r="C64" s="4">
        <v>14</v>
      </c>
      <c r="D64" s="8">
        <v>2.83</v>
      </c>
      <c r="E64" s="8">
        <v>6.02</v>
      </c>
      <c r="F64" s="4">
        <v>1</v>
      </c>
      <c r="G64" s="4">
        <v>-16</v>
      </c>
      <c r="H64" s="9">
        <v>1</v>
      </c>
    </row>
    <row r="65" spans="1:8" x14ac:dyDescent="0.2">
      <c r="A65" s="2" t="s">
        <v>543</v>
      </c>
      <c r="B65" s="2">
        <v>2018</v>
      </c>
      <c r="C65" s="2">
        <v>14</v>
      </c>
      <c r="D65" s="7">
        <v>2.82</v>
      </c>
      <c r="E65" s="7">
        <v>2.2999999999999998</v>
      </c>
      <c r="F65" s="4">
        <v>0</v>
      </c>
      <c r="G65" s="4">
        <v>-26</v>
      </c>
      <c r="H65" s="9">
        <v>0</v>
      </c>
    </row>
    <row r="66" spans="1:8" x14ac:dyDescent="0.2">
      <c r="A66" s="4" t="s">
        <v>967</v>
      </c>
      <c r="B66" s="4">
        <v>2016</v>
      </c>
      <c r="C66" s="4">
        <v>14</v>
      </c>
      <c r="D66" s="8">
        <v>2.73</v>
      </c>
      <c r="E66" s="8">
        <v>2.46</v>
      </c>
      <c r="F66" s="4">
        <v>0</v>
      </c>
      <c r="G66" s="4">
        <v>-7</v>
      </c>
      <c r="H66" s="9">
        <v>0</v>
      </c>
    </row>
    <row r="67" spans="1:8" x14ac:dyDescent="0.2">
      <c r="A67" s="2" t="s">
        <v>463</v>
      </c>
      <c r="B67" s="2">
        <v>2017</v>
      </c>
      <c r="C67" s="2">
        <v>14</v>
      </c>
      <c r="D67" s="7">
        <v>1.73</v>
      </c>
      <c r="E67" s="2">
        <v>-5.53</v>
      </c>
      <c r="F67" s="2">
        <v>0</v>
      </c>
      <c r="G67" s="2">
        <v>-17</v>
      </c>
      <c r="H67" s="5">
        <v>0</v>
      </c>
    </row>
    <row r="68" spans="1:8" x14ac:dyDescent="0.2">
      <c r="A68" s="4" t="s">
        <v>71</v>
      </c>
      <c r="B68" s="4">
        <v>2002</v>
      </c>
      <c r="C68" s="4">
        <v>14</v>
      </c>
      <c r="D68" s="8">
        <v>1.1100000000000001</v>
      </c>
      <c r="E68" s="8">
        <v>3.54</v>
      </c>
      <c r="F68" s="4">
        <v>0</v>
      </c>
      <c r="G68" s="4">
        <v>-17</v>
      </c>
      <c r="H68" s="9">
        <v>0</v>
      </c>
    </row>
    <row r="69" spans="1:8" x14ac:dyDescent="0.2">
      <c r="A69" s="4" t="s">
        <v>551</v>
      </c>
      <c r="B69" s="4">
        <v>2002</v>
      </c>
      <c r="C69" s="4">
        <v>14</v>
      </c>
      <c r="D69" s="8">
        <v>0.92</v>
      </c>
      <c r="E69" s="8">
        <v>-3.19</v>
      </c>
      <c r="F69" s="4">
        <v>0</v>
      </c>
      <c r="G69" s="4">
        <v>-17</v>
      </c>
      <c r="H69" s="9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69"/>
  <sheetViews>
    <sheetView topLeftCell="A20" workbookViewId="0">
      <selection activeCell="G7" sqref="G7"/>
    </sheetView>
  </sheetViews>
  <sheetFormatPr baseColWidth="10" defaultRowHeight="16" x14ac:dyDescent="0.2"/>
  <cols>
    <col min="1" max="1" width="22.33203125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1178</v>
      </c>
      <c r="E1" s="1" t="s">
        <v>1176</v>
      </c>
      <c r="F1" s="1" t="s">
        <v>65</v>
      </c>
      <c r="G1" s="1" t="s">
        <v>91</v>
      </c>
      <c r="H1" s="1" t="s">
        <v>92</v>
      </c>
    </row>
    <row r="2" spans="1:8" x14ac:dyDescent="0.2">
      <c r="A2" t="s">
        <v>468</v>
      </c>
      <c r="B2">
        <v>2006</v>
      </c>
      <c r="C2">
        <v>15</v>
      </c>
      <c r="D2" s="3">
        <v>9.2987000000000002</v>
      </c>
      <c r="E2" s="3">
        <v>6.27</v>
      </c>
      <c r="F2">
        <v>0</v>
      </c>
      <c r="G2">
        <v>-2</v>
      </c>
      <c r="H2" s="6">
        <v>0</v>
      </c>
    </row>
    <row r="3" spans="1:8" x14ac:dyDescent="0.2">
      <c r="A3" t="s">
        <v>84</v>
      </c>
      <c r="B3">
        <v>2012</v>
      </c>
      <c r="C3">
        <v>15</v>
      </c>
      <c r="D3" s="3">
        <v>8.9542000000000002</v>
      </c>
      <c r="E3" s="3">
        <v>-7.58</v>
      </c>
      <c r="F3">
        <v>1</v>
      </c>
      <c r="G3">
        <v>-7</v>
      </c>
      <c r="H3" s="6">
        <v>5</v>
      </c>
    </row>
    <row r="4" spans="1:8" x14ac:dyDescent="0.2">
      <c r="A4" s="2" t="s">
        <v>55</v>
      </c>
      <c r="B4">
        <v>2013</v>
      </c>
      <c r="C4">
        <v>15</v>
      </c>
      <c r="D4" s="7">
        <v>7.8639999999999999</v>
      </c>
      <c r="E4" s="3">
        <v>2.94</v>
      </c>
      <c r="F4">
        <v>0</v>
      </c>
      <c r="G4">
        <v>-25</v>
      </c>
      <c r="H4" s="6">
        <v>0</v>
      </c>
    </row>
    <row r="5" spans="1:8" x14ac:dyDescent="0.2">
      <c r="A5" t="s">
        <v>545</v>
      </c>
      <c r="B5">
        <v>2007</v>
      </c>
      <c r="C5">
        <v>15</v>
      </c>
      <c r="D5" s="3">
        <v>7.6159999999999997</v>
      </c>
      <c r="E5" s="3">
        <v>1.59</v>
      </c>
      <c r="F5">
        <v>0</v>
      </c>
      <c r="G5">
        <v>-13</v>
      </c>
      <c r="H5" s="6">
        <v>0</v>
      </c>
    </row>
    <row r="6" spans="1:8" x14ac:dyDescent="0.2">
      <c r="A6" s="2" t="s">
        <v>970</v>
      </c>
      <c r="B6" s="2">
        <v>2018</v>
      </c>
      <c r="C6" s="2">
        <v>15</v>
      </c>
      <c r="D6" s="7">
        <v>7.21</v>
      </c>
      <c r="E6" s="7">
        <v>-2.88</v>
      </c>
      <c r="F6" s="2">
        <v>0</v>
      </c>
      <c r="G6" s="2">
        <v>-15</v>
      </c>
      <c r="H6" s="5">
        <v>0</v>
      </c>
    </row>
    <row r="7" spans="1:8" x14ac:dyDescent="0.2">
      <c r="A7" t="s">
        <v>544</v>
      </c>
      <c r="B7">
        <v>2006</v>
      </c>
      <c r="C7">
        <v>15</v>
      </c>
      <c r="D7" s="3">
        <v>7.0083000000000002</v>
      </c>
      <c r="E7" s="3">
        <v>4.7</v>
      </c>
      <c r="F7">
        <v>0</v>
      </c>
      <c r="G7">
        <v>-8</v>
      </c>
      <c r="H7" s="6">
        <v>0</v>
      </c>
    </row>
    <row r="8" spans="1:8" x14ac:dyDescent="0.2">
      <c r="A8" s="2" t="s">
        <v>49</v>
      </c>
      <c r="B8" s="4">
        <v>2015</v>
      </c>
      <c r="C8" s="2">
        <v>15</v>
      </c>
      <c r="D8" s="7">
        <v>6.9726999999999997</v>
      </c>
      <c r="E8" s="7">
        <v>2.04</v>
      </c>
      <c r="F8" s="2">
        <v>0</v>
      </c>
      <c r="G8" s="2">
        <v>-19</v>
      </c>
      <c r="H8" s="5">
        <v>0</v>
      </c>
    </row>
    <row r="9" spans="1:8" x14ac:dyDescent="0.2">
      <c r="A9" t="s">
        <v>228</v>
      </c>
      <c r="B9">
        <v>2003</v>
      </c>
      <c r="C9">
        <v>15</v>
      </c>
      <c r="D9" s="3">
        <v>6.6974999999999998</v>
      </c>
      <c r="E9" s="3">
        <v>0.99</v>
      </c>
      <c r="F9">
        <v>0</v>
      </c>
      <c r="G9">
        <v>-3</v>
      </c>
      <c r="H9" s="6">
        <v>0</v>
      </c>
    </row>
    <row r="10" spans="1:8" x14ac:dyDescent="0.2">
      <c r="A10" s="2" t="s">
        <v>1073</v>
      </c>
      <c r="B10" s="2">
        <v>2016</v>
      </c>
      <c r="C10" s="2">
        <v>15</v>
      </c>
      <c r="D10" s="7">
        <v>6.4730999999999996</v>
      </c>
      <c r="E10" s="7">
        <v>-4.0999999999999996</v>
      </c>
      <c r="F10" s="2">
        <v>0</v>
      </c>
      <c r="G10" s="2">
        <v>-14</v>
      </c>
      <c r="H10" s="5">
        <v>0</v>
      </c>
    </row>
    <row r="11" spans="1:8" x14ac:dyDescent="0.2">
      <c r="A11" s="2" t="s">
        <v>391</v>
      </c>
      <c r="B11" s="2">
        <v>2014</v>
      </c>
      <c r="C11" s="2">
        <v>15</v>
      </c>
      <c r="D11" s="7">
        <v>5.8396999999999997</v>
      </c>
      <c r="E11" s="7">
        <v>-3.27</v>
      </c>
      <c r="F11" s="2">
        <v>0</v>
      </c>
      <c r="G11" s="2">
        <v>-40</v>
      </c>
      <c r="H11" s="5">
        <v>0</v>
      </c>
    </row>
    <row r="12" spans="1:8" x14ac:dyDescent="0.2">
      <c r="A12" s="2" t="s">
        <v>57</v>
      </c>
      <c r="B12">
        <v>2013</v>
      </c>
      <c r="C12">
        <v>15</v>
      </c>
      <c r="D12" s="7">
        <v>5.5232000000000001</v>
      </c>
      <c r="E12" s="3">
        <v>9.14</v>
      </c>
      <c r="F12">
        <v>0</v>
      </c>
      <c r="G12">
        <v>-29</v>
      </c>
      <c r="H12" s="6">
        <v>0</v>
      </c>
    </row>
    <row r="13" spans="1:8" x14ac:dyDescent="0.2">
      <c r="A13" t="s">
        <v>85</v>
      </c>
      <c r="B13">
        <v>2012</v>
      </c>
      <c r="C13">
        <v>15</v>
      </c>
      <c r="D13" s="3">
        <v>5.5102000000000002</v>
      </c>
      <c r="E13" s="3">
        <v>1.79</v>
      </c>
      <c r="F13">
        <v>0</v>
      </c>
      <c r="G13">
        <v>-15</v>
      </c>
      <c r="H13" s="6">
        <v>0</v>
      </c>
    </row>
    <row r="14" spans="1:8" x14ac:dyDescent="0.2">
      <c r="A14" t="s">
        <v>1189</v>
      </c>
      <c r="B14">
        <v>2011</v>
      </c>
      <c r="C14">
        <v>15</v>
      </c>
      <c r="D14" s="3">
        <v>5.3007</v>
      </c>
      <c r="E14" s="3">
        <v>-6.68</v>
      </c>
      <c r="F14">
        <v>0</v>
      </c>
      <c r="G14">
        <v>-15</v>
      </c>
      <c r="H14" s="6">
        <v>0</v>
      </c>
    </row>
    <row r="15" spans="1:8" x14ac:dyDescent="0.2">
      <c r="A15" t="s">
        <v>392</v>
      </c>
      <c r="B15">
        <v>2009</v>
      </c>
      <c r="C15">
        <v>15</v>
      </c>
      <c r="D15" s="3">
        <v>5.0453000000000001</v>
      </c>
      <c r="E15" s="3">
        <v>2.14</v>
      </c>
      <c r="F15">
        <v>0</v>
      </c>
      <c r="G15">
        <v>-11</v>
      </c>
      <c r="H15" s="6">
        <v>0</v>
      </c>
    </row>
    <row r="16" spans="1:8" x14ac:dyDescent="0.2">
      <c r="A16" t="s">
        <v>51</v>
      </c>
      <c r="B16">
        <v>2006</v>
      </c>
      <c r="C16">
        <v>15</v>
      </c>
      <c r="D16" s="3">
        <v>4.7599</v>
      </c>
      <c r="E16" s="3">
        <v>8.49</v>
      </c>
      <c r="F16">
        <v>0</v>
      </c>
      <c r="G16">
        <v>-8</v>
      </c>
      <c r="H16" s="6">
        <v>0</v>
      </c>
    </row>
    <row r="17" spans="1:8" x14ac:dyDescent="0.2">
      <c r="A17" t="s">
        <v>42</v>
      </c>
      <c r="B17">
        <v>2007</v>
      </c>
      <c r="C17">
        <v>15</v>
      </c>
      <c r="D17" s="3">
        <v>4.5418000000000003</v>
      </c>
      <c r="E17" s="3">
        <v>0.68</v>
      </c>
      <c r="F17">
        <v>0</v>
      </c>
      <c r="G17">
        <v>-25</v>
      </c>
      <c r="H17" s="6">
        <v>0</v>
      </c>
    </row>
    <row r="18" spans="1:8" x14ac:dyDescent="0.2">
      <c r="A18" t="s">
        <v>237</v>
      </c>
      <c r="B18">
        <v>2011</v>
      </c>
      <c r="C18">
        <v>15</v>
      </c>
      <c r="D18" s="3">
        <v>4.4500999999999999</v>
      </c>
      <c r="E18" s="3">
        <v>0.15</v>
      </c>
      <c r="F18">
        <v>0</v>
      </c>
      <c r="G18">
        <v>-18</v>
      </c>
      <c r="H18" s="6">
        <v>0</v>
      </c>
    </row>
    <row r="19" spans="1:8" x14ac:dyDescent="0.2">
      <c r="A19" s="2" t="s">
        <v>89</v>
      </c>
      <c r="B19" s="2">
        <v>2016</v>
      </c>
      <c r="C19" s="2">
        <v>15</v>
      </c>
      <c r="D19" s="7">
        <v>4.1776999999999997</v>
      </c>
      <c r="E19" s="7">
        <v>2.44</v>
      </c>
      <c r="F19" s="2">
        <v>0</v>
      </c>
      <c r="G19" s="2">
        <v>-30</v>
      </c>
      <c r="H19" s="5">
        <v>0</v>
      </c>
    </row>
    <row r="20" spans="1:8" x14ac:dyDescent="0.2">
      <c r="A20" t="s">
        <v>238</v>
      </c>
      <c r="B20">
        <v>2011</v>
      </c>
      <c r="C20">
        <v>15</v>
      </c>
      <c r="D20" s="3">
        <v>4.0643000000000002</v>
      </c>
      <c r="E20" s="3">
        <v>4.91</v>
      </c>
      <c r="F20">
        <v>0</v>
      </c>
      <c r="G20">
        <v>-28</v>
      </c>
      <c r="H20" s="6">
        <v>0</v>
      </c>
    </row>
    <row r="21" spans="1:8" x14ac:dyDescent="0.2">
      <c r="A21" t="s">
        <v>471</v>
      </c>
      <c r="B21">
        <v>2008</v>
      </c>
      <c r="C21">
        <v>15</v>
      </c>
      <c r="D21" s="3">
        <v>3.9870000000000001</v>
      </c>
      <c r="E21" s="3">
        <v>0.47</v>
      </c>
      <c r="F21">
        <v>0</v>
      </c>
      <c r="G21">
        <v>-19</v>
      </c>
      <c r="H21" s="6">
        <v>0</v>
      </c>
    </row>
    <row r="22" spans="1:8" x14ac:dyDescent="0.2">
      <c r="A22" s="2" t="s">
        <v>1074</v>
      </c>
      <c r="B22" s="2">
        <v>2016</v>
      </c>
      <c r="C22" s="2">
        <v>15</v>
      </c>
      <c r="D22" s="7">
        <v>3.9024999999999999</v>
      </c>
      <c r="E22" s="7">
        <v>1.8</v>
      </c>
      <c r="F22" s="2">
        <v>1</v>
      </c>
      <c r="G22" s="2">
        <v>-16</v>
      </c>
      <c r="H22" s="5">
        <v>9</v>
      </c>
    </row>
    <row r="23" spans="1:8" x14ac:dyDescent="0.2">
      <c r="A23" t="s">
        <v>86</v>
      </c>
      <c r="B23">
        <v>2012</v>
      </c>
      <c r="C23">
        <v>15</v>
      </c>
      <c r="D23" s="3">
        <v>3.6785000000000001</v>
      </c>
      <c r="E23" s="3">
        <v>3.9</v>
      </c>
      <c r="F23">
        <v>0</v>
      </c>
      <c r="G23">
        <v>-19</v>
      </c>
      <c r="H23" s="6">
        <v>0</v>
      </c>
    </row>
    <row r="24" spans="1:8" x14ac:dyDescent="0.2">
      <c r="A24" t="s">
        <v>46</v>
      </c>
      <c r="B24">
        <v>2011</v>
      </c>
      <c r="C24">
        <v>15</v>
      </c>
      <c r="D24" s="3">
        <v>3.6757</v>
      </c>
      <c r="E24" s="3">
        <v>-0.01</v>
      </c>
      <c r="F24">
        <v>0</v>
      </c>
      <c r="G24">
        <v>-13</v>
      </c>
      <c r="H24" s="6">
        <v>0</v>
      </c>
    </row>
    <row r="25" spans="1:8" x14ac:dyDescent="0.2">
      <c r="A25" t="s">
        <v>760</v>
      </c>
      <c r="B25">
        <v>2004</v>
      </c>
      <c r="C25">
        <v>15</v>
      </c>
      <c r="D25" s="3">
        <v>3.5232000000000001</v>
      </c>
      <c r="E25" s="3">
        <v>4.12</v>
      </c>
      <c r="F25">
        <v>0</v>
      </c>
      <c r="G25">
        <v>-19</v>
      </c>
      <c r="H25" s="6">
        <v>0</v>
      </c>
    </row>
    <row r="26" spans="1:8" x14ac:dyDescent="0.2">
      <c r="A26" t="s">
        <v>241</v>
      </c>
      <c r="B26">
        <v>2002</v>
      </c>
      <c r="C26">
        <v>15</v>
      </c>
      <c r="D26" s="3">
        <v>3.4047000000000001</v>
      </c>
      <c r="E26" s="3">
        <v>-1.9</v>
      </c>
      <c r="F26">
        <v>0</v>
      </c>
      <c r="G26">
        <v>-11</v>
      </c>
      <c r="H26" s="6">
        <v>0</v>
      </c>
    </row>
    <row r="27" spans="1:8" x14ac:dyDescent="0.2">
      <c r="A27" s="2" t="s">
        <v>54</v>
      </c>
      <c r="B27">
        <v>2013</v>
      </c>
      <c r="C27">
        <v>15</v>
      </c>
      <c r="D27" s="7">
        <v>3.3428</v>
      </c>
      <c r="E27" s="3">
        <v>4.3600000000000003</v>
      </c>
      <c r="F27">
        <v>2</v>
      </c>
      <c r="G27">
        <v>8</v>
      </c>
      <c r="H27" s="6">
        <f>(20/2)</f>
        <v>10</v>
      </c>
    </row>
    <row r="28" spans="1:8" x14ac:dyDescent="0.2">
      <c r="A28" t="s">
        <v>759</v>
      </c>
      <c r="B28">
        <v>2002</v>
      </c>
      <c r="C28">
        <v>15</v>
      </c>
      <c r="D28" s="3">
        <v>3.2763</v>
      </c>
      <c r="E28" s="3">
        <v>-0.14000000000000001</v>
      </c>
      <c r="F28">
        <v>0</v>
      </c>
      <c r="G28">
        <v>-8</v>
      </c>
      <c r="H28" s="6">
        <v>0</v>
      </c>
    </row>
    <row r="29" spans="1:8" x14ac:dyDescent="0.2">
      <c r="A29" s="2" t="s">
        <v>548</v>
      </c>
      <c r="B29" s="2">
        <v>2014</v>
      </c>
      <c r="C29" s="2">
        <v>15</v>
      </c>
      <c r="D29" s="7">
        <v>3.0377000000000001</v>
      </c>
      <c r="E29" s="7">
        <v>-5.13</v>
      </c>
      <c r="F29" s="2">
        <v>0</v>
      </c>
      <c r="G29" s="2">
        <v>-11</v>
      </c>
      <c r="H29" s="5">
        <v>0</v>
      </c>
    </row>
    <row r="30" spans="1:8" x14ac:dyDescent="0.2">
      <c r="A30" s="2" t="s">
        <v>55</v>
      </c>
      <c r="B30" s="2">
        <v>2018</v>
      </c>
      <c r="C30" s="2">
        <v>15</v>
      </c>
      <c r="D30" s="7">
        <v>2.87</v>
      </c>
      <c r="E30" s="7">
        <v>2.2599999999999998</v>
      </c>
      <c r="F30" s="2">
        <v>0</v>
      </c>
      <c r="G30" s="2">
        <v>-22</v>
      </c>
      <c r="H30" s="5">
        <v>0</v>
      </c>
    </row>
    <row r="31" spans="1:8" x14ac:dyDescent="0.2">
      <c r="A31" s="2" t="s">
        <v>546</v>
      </c>
      <c r="B31" s="2">
        <v>2016</v>
      </c>
      <c r="C31" s="2">
        <v>15</v>
      </c>
      <c r="D31" s="7">
        <v>2.7448999999999999</v>
      </c>
      <c r="E31" s="7">
        <v>0.43</v>
      </c>
      <c r="F31" s="2">
        <v>0</v>
      </c>
      <c r="G31" s="2">
        <v>-18</v>
      </c>
      <c r="H31" s="5">
        <v>0</v>
      </c>
    </row>
    <row r="32" spans="1:8" x14ac:dyDescent="0.2">
      <c r="A32" s="2" t="s">
        <v>904</v>
      </c>
      <c r="B32" s="2">
        <v>2017</v>
      </c>
      <c r="C32" s="2">
        <v>15</v>
      </c>
      <c r="D32" s="7">
        <v>2.67</v>
      </c>
      <c r="E32" s="2">
        <v>-6.66</v>
      </c>
      <c r="F32" s="2">
        <v>0</v>
      </c>
      <c r="G32" s="2">
        <v>-22</v>
      </c>
      <c r="H32" s="5">
        <v>0</v>
      </c>
    </row>
    <row r="33" spans="1:8" x14ac:dyDescent="0.2">
      <c r="A33" t="s">
        <v>42</v>
      </c>
      <c r="B33">
        <v>2008</v>
      </c>
      <c r="C33">
        <v>15</v>
      </c>
      <c r="D33" s="3">
        <v>2.4765999999999999</v>
      </c>
      <c r="E33" s="3">
        <v>-0.52</v>
      </c>
      <c r="F33">
        <v>0</v>
      </c>
      <c r="G33">
        <v>-1</v>
      </c>
      <c r="H33" s="6">
        <v>0</v>
      </c>
    </row>
    <row r="34" spans="1:8" x14ac:dyDescent="0.2">
      <c r="A34" t="s">
        <v>687</v>
      </c>
      <c r="B34">
        <v>2005</v>
      </c>
      <c r="C34">
        <v>15</v>
      </c>
      <c r="D34" s="3">
        <v>2.4634999999999998</v>
      </c>
      <c r="E34" s="3">
        <v>-6.07</v>
      </c>
      <c r="F34">
        <v>0</v>
      </c>
      <c r="G34">
        <v>-13</v>
      </c>
      <c r="H34" s="6">
        <v>0</v>
      </c>
    </row>
    <row r="35" spans="1:8" x14ac:dyDescent="0.2">
      <c r="A35" t="s">
        <v>238</v>
      </c>
      <c r="B35">
        <v>2010</v>
      </c>
      <c r="C35">
        <v>15</v>
      </c>
      <c r="D35" s="3">
        <v>2.3308</v>
      </c>
      <c r="E35" s="3">
        <v>2.85</v>
      </c>
      <c r="F35">
        <v>0</v>
      </c>
      <c r="G35">
        <v>-17</v>
      </c>
      <c r="H35" s="6">
        <v>0</v>
      </c>
    </row>
    <row r="36" spans="1:8" x14ac:dyDescent="0.2">
      <c r="A36" t="s">
        <v>311</v>
      </c>
      <c r="B36">
        <v>2003</v>
      </c>
      <c r="C36">
        <v>15</v>
      </c>
      <c r="D36" s="3">
        <v>1.9077999999999999</v>
      </c>
      <c r="E36" s="3">
        <v>-2.08</v>
      </c>
      <c r="F36">
        <v>0</v>
      </c>
      <c r="G36">
        <v>-30</v>
      </c>
      <c r="H36" s="6">
        <v>0</v>
      </c>
    </row>
    <row r="37" spans="1:8" x14ac:dyDescent="0.2">
      <c r="A37" t="s">
        <v>312</v>
      </c>
      <c r="B37">
        <v>2010</v>
      </c>
      <c r="C37">
        <v>15</v>
      </c>
      <c r="D37" s="3">
        <v>1.8629</v>
      </c>
      <c r="E37" s="3">
        <v>-1.8</v>
      </c>
      <c r="F37">
        <v>0</v>
      </c>
      <c r="G37">
        <v>-27</v>
      </c>
      <c r="H37" s="6">
        <v>0</v>
      </c>
    </row>
    <row r="38" spans="1:8" x14ac:dyDescent="0.2">
      <c r="A38" t="s">
        <v>391</v>
      </c>
      <c r="B38">
        <v>2008</v>
      </c>
      <c r="C38">
        <v>15</v>
      </c>
      <c r="D38" s="3">
        <v>1.7238</v>
      </c>
      <c r="E38" s="3">
        <v>-3.97</v>
      </c>
      <c r="F38">
        <v>0</v>
      </c>
      <c r="G38">
        <v>-15</v>
      </c>
      <c r="H38" s="6">
        <v>0</v>
      </c>
    </row>
    <row r="39" spans="1:8" x14ac:dyDescent="0.2">
      <c r="A39" t="s">
        <v>314</v>
      </c>
      <c r="B39">
        <v>2009</v>
      </c>
      <c r="C39">
        <v>15</v>
      </c>
      <c r="D39" s="3">
        <v>1.5199</v>
      </c>
      <c r="E39" s="3">
        <v>-0.84</v>
      </c>
      <c r="F39">
        <v>0</v>
      </c>
      <c r="G39">
        <v>-15</v>
      </c>
      <c r="H39" s="6">
        <v>0</v>
      </c>
    </row>
    <row r="40" spans="1:8" x14ac:dyDescent="0.2">
      <c r="A40" s="2" t="s">
        <v>42</v>
      </c>
      <c r="B40" s="4">
        <v>2015</v>
      </c>
      <c r="C40" s="2">
        <v>15</v>
      </c>
      <c r="D40" s="7">
        <v>1.5081</v>
      </c>
      <c r="E40" s="7">
        <v>-2.29</v>
      </c>
      <c r="F40" s="2">
        <v>0</v>
      </c>
      <c r="G40" s="2">
        <v>-12</v>
      </c>
      <c r="H40" s="5">
        <v>0</v>
      </c>
    </row>
    <row r="41" spans="1:8" x14ac:dyDescent="0.2">
      <c r="A41" s="2" t="s">
        <v>1186</v>
      </c>
      <c r="B41" s="2">
        <v>2017</v>
      </c>
      <c r="C41" s="2">
        <v>15</v>
      </c>
      <c r="D41" s="7">
        <v>1.34</v>
      </c>
      <c r="E41" s="2">
        <v>-2.27</v>
      </c>
      <c r="F41" s="2">
        <v>0</v>
      </c>
      <c r="G41" s="2">
        <v>-9</v>
      </c>
      <c r="H41" s="5">
        <v>0</v>
      </c>
    </row>
    <row r="42" spans="1:8" x14ac:dyDescent="0.2">
      <c r="A42" t="s">
        <v>548</v>
      </c>
      <c r="B42">
        <v>2005</v>
      </c>
      <c r="C42">
        <v>15</v>
      </c>
      <c r="D42" s="3">
        <v>1.3217000000000001</v>
      </c>
      <c r="E42" s="3">
        <v>-3.75</v>
      </c>
      <c r="F42">
        <v>0</v>
      </c>
      <c r="G42">
        <v>-8</v>
      </c>
      <c r="H42" s="6">
        <v>0</v>
      </c>
    </row>
    <row r="43" spans="1:8" x14ac:dyDescent="0.2">
      <c r="A43" s="2" t="s">
        <v>469</v>
      </c>
      <c r="B43" s="2">
        <v>2018</v>
      </c>
      <c r="C43" s="2">
        <v>15</v>
      </c>
      <c r="D43" s="7">
        <v>1.32</v>
      </c>
      <c r="E43" s="7">
        <v>3.47</v>
      </c>
      <c r="F43" s="2">
        <v>0</v>
      </c>
      <c r="G43" s="2">
        <v>-26</v>
      </c>
      <c r="H43" s="5">
        <v>0</v>
      </c>
    </row>
    <row r="44" spans="1:8" x14ac:dyDescent="0.2">
      <c r="A44" t="s">
        <v>312</v>
      </c>
      <c r="B44">
        <v>2009</v>
      </c>
      <c r="C44">
        <v>15</v>
      </c>
      <c r="D44" s="3">
        <v>1.2978000000000001</v>
      </c>
      <c r="E44" s="3">
        <v>1.6</v>
      </c>
      <c r="F44">
        <v>0</v>
      </c>
      <c r="G44">
        <v>-28</v>
      </c>
      <c r="H44" s="6">
        <v>0</v>
      </c>
    </row>
    <row r="45" spans="1:8" x14ac:dyDescent="0.2">
      <c r="A45" s="2" t="s">
        <v>56</v>
      </c>
      <c r="B45">
        <v>2013</v>
      </c>
      <c r="C45">
        <v>15</v>
      </c>
      <c r="D45" s="7">
        <v>1.1347</v>
      </c>
      <c r="E45" s="3">
        <v>-6.56</v>
      </c>
      <c r="F45">
        <v>0</v>
      </c>
      <c r="G45">
        <v>-12</v>
      </c>
      <c r="H45" s="6">
        <v>0</v>
      </c>
    </row>
    <row r="46" spans="1:8" x14ac:dyDescent="0.2">
      <c r="A46" t="s">
        <v>52</v>
      </c>
      <c r="B46">
        <v>2004</v>
      </c>
      <c r="C46">
        <v>15</v>
      </c>
      <c r="D46" s="3">
        <v>0.86970000000000003</v>
      </c>
      <c r="E46" s="3">
        <v>3.9</v>
      </c>
      <c r="F46">
        <v>0</v>
      </c>
      <c r="G46">
        <v>-27</v>
      </c>
      <c r="H46" s="6">
        <v>0</v>
      </c>
    </row>
    <row r="47" spans="1:8" x14ac:dyDescent="0.2">
      <c r="A47" t="s">
        <v>315</v>
      </c>
      <c r="B47">
        <v>2003</v>
      </c>
      <c r="C47">
        <v>15</v>
      </c>
      <c r="D47" s="3">
        <v>0.7147</v>
      </c>
      <c r="E47" s="3">
        <v>2.0699999999999998</v>
      </c>
      <c r="F47">
        <v>0</v>
      </c>
      <c r="G47">
        <v>-3</v>
      </c>
      <c r="H47" s="6">
        <v>0</v>
      </c>
    </row>
    <row r="48" spans="1:8" x14ac:dyDescent="0.2">
      <c r="A48" s="2" t="s">
        <v>1187</v>
      </c>
      <c r="B48" s="2">
        <v>2017</v>
      </c>
      <c r="C48" s="2">
        <v>15</v>
      </c>
      <c r="D48" s="7">
        <v>0.57999999999999996</v>
      </c>
      <c r="E48" s="2">
        <v>1.07</v>
      </c>
      <c r="F48" s="2">
        <v>0</v>
      </c>
      <c r="G48" s="2">
        <v>-15</v>
      </c>
      <c r="H48" s="5">
        <v>0</v>
      </c>
    </row>
    <row r="49" spans="1:8" x14ac:dyDescent="0.2">
      <c r="A49" s="2" t="s">
        <v>389</v>
      </c>
      <c r="B49" s="4">
        <v>2015</v>
      </c>
      <c r="C49" s="2">
        <v>15</v>
      </c>
      <c r="D49" s="7">
        <v>0.56830000000000003</v>
      </c>
      <c r="E49" s="7">
        <v>-5.7</v>
      </c>
      <c r="F49" s="2">
        <v>0</v>
      </c>
      <c r="G49" s="2">
        <v>-10</v>
      </c>
      <c r="H49" s="5">
        <v>0</v>
      </c>
    </row>
    <row r="50" spans="1:8" x14ac:dyDescent="0.2">
      <c r="A50" s="2" t="s">
        <v>900</v>
      </c>
      <c r="B50" s="2">
        <v>2014</v>
      </c>
      <c r="C50" s="2">
        <v>15</v>
      </c>
      <c r="D50" s="7">
        <v>0.3891</v>
      </c>
      <c r="E50" s="7">
        <v>-4.04</v>
      </c>
      <c r="F50" s="2">
        <v>0</v>
      </c>
      <c r="G50" s="2">
        <v>-20</v>
      </c>
      <c r="H50" s="5">
        <v>0</v>
      </c>
    </row>
    <row r="51" spans="1:8" x14ac:dyDescent="0.2">
      <c r="A51" s="2" t="s">
        <v>1259</v>
      </c>
      <c r="B51" s="2">
        <v>2018</v>
      </c>
      <c r="C51" s="2">
        <v>15</v>
      </c>
      <c r="D51" s="7">
        <v>0.36</v>
      </c>
      <c r="E51" s="7">
        <v>6.07</v>
      </c>
      <c r="F51" s="2">
        <v>0</v>
      </c>
      <c r="G51" s="2">
        <v>-18</v>
      </c>
      <c r="H51" s="5">
        <v>0</v>
      </c>
    </row>
    <row r="52" spans="1:8" x14ac:dyDescent="0.2">
      <c r="A52" t="s">
        <v>42</v>
      </c>
      <c r="B52">
        <v>2006</v>
      </c>
      <c r="C52">
        <v>15</v>
      </c>
      <c r="D52" s="3">
        <v>0.32990000000000003</v>
      </c>
      <c r="E52" s="3">
        <v>3.6</v>
      </c>
      <c r="F52">
        <v>0</v>
      </c>
      <c r="G52">
        <v>-34</v>
      </c>
      <c r="H52" s="6">
        <v>0</v>
      </c>
    </row>
    <row r="53" spans="1:8" x14ac:dyDescent="0.2">
      <c r="A53" t="s">
        <v>472</v>
      </c>
      <c r="B53">
        <v>2008</v>
      </c>
      <c r="C53">
        <v>15</v>
      </c>
      <c r="D53" s="3">
        <v>-0.16919999999999999</v>
      </c>
      <c r="E53" s="3">
        <v>3.86</v>
      </c>
      <c r="F53">
        <v>0</v>
      </c>
      <c r="G53">
        <v>-20</v>
      </c>
      <c r="H53" s="6">
        <v>0</v>
      </c>
    </row>
    <row r="54" spans="1:8" x14ac:dyDescent="0.2">
      <c r="A54" t="s">
        <v>313</v>
      </c>
      <c r="B54">
        <v>2010</v>
      </c>
      <c r="C54">
        <v>15</v>
      </c>
      <c r="D54" s="3">
        <v>-0.29799999999999999</v>
      </c>
      <c r="E54" s="3">
        <v>-4.2300000000000004</v>
      </c>
      <c r="F54">
        <v>0</v>
      </c>
      <c r="G54">
        <v>-20</v>
      </c>
      <c r="H54" s="6">
        <v>0</v>
      </c>
    </row>
    <row r="55" spans="1:8" x14ac:dyDescent="0.2">
      <c r="A55" s="2" t="s">
        <v>1185</v>
      </c>
      <c r="B55" s="2">
        <v>2017</v>
      </c>
      <c r="C55" s="2">
        <v>15</v>
      </c>
      <c r="D55" s="7">
        <v>-0.32</v>
      </c>
      <c r="E55" s="2">
        <v>3.07</v>
      </c>
      <c r="F55" s="2">
        <v>0</v>
      </c>
      <c r="G55" s="2">
        <v>-18</v>
      </c>
      <c r="H55" s="5">
        <v>0</v>
      </c>
    </row>
    <row r="56" spans="1:8" x14ac:dyDescent="0.2">
      <c r="A56" t="s">
        <v>395</v>
      </c>
      <c r="B56">
        <v>2005</v>
      </c>
      <c r="C56">
        <v>15</v>
      </c>
      <c r="D56" s="3">
        <v>-0.41899999999999998</v>
      </c>
      <c r="E56" s="3">
        <v>2.4300000000000002</v>
      </c>
      <c r="F56">
        <v>0</v>
      </c>
      <c r="G56">
        <v>-16</v>
      </c>
      <c r="H56" s="6">
        <v>0</v>
      </c>
    </row>
    <row r="57" spans="1:8" x14ac:dyDescent="0.2">
      <c r="A57" t="s">
        <v>393</v>
      </c>
      <c r="B57">
        <v>2009</v>
      </c>
      <c r="C57">
        <v>15</v>
      </c>
      <c r="D57" s="3">
        <v>-0.91779999999999995</v>
      </c>
      <c r="E57" s="3">
        <v>-5.41</v>
      </c>
      <c r="F57">
        <v>0</v>
      </c>
      <c r="G57">
        <v>-24</v>
      </c>
      <c r="H57" s="6">
        <v>0</v>
      </c>
    </row>
    <row r="58" spans="1:8" x14ac:dyDescent="0.2">
      <c r="A58" t="s">
        <v>829</v>
      </c>
      <c r="B58">
        <v>2003</v>
      </c>
      <c r="C58">
        <v>15</v>
      </c>
      <c r="D58" s="3">
        <v>-0.99850000000000005</v>
      </c>
      <c r="E58" s="3">
        <v>0.52</v>
      </c>
      <c r="F58">
        <v>0</v>
      </c>
      <c r="G58">
        <v>-26</v>
      </c>
      <c r="H58" s="6">
        <v>0</v>
      </c>
    </row>
    <row r="59" spans="1:8" x14ac:dyDescent="0.2">
      <c r="A59" t="s">
        <v>88</v>
      </c>
      <c r="B59">
        <v>2004</v>
      </c>
      <c r="C59">
        <v>15</v>
      </c>
      <c r="D59" s="3">
        <v>-1.2468999999999999</v>
      </c>
      <c r="E59" s="3">
        <v>-5.3</v>
      </c>
      <c r="F59">
        <v>0</v>
      </c>
      <c r="G59">
        <v>-17</v>
      </c>
      <c r="H59" s="6">
        <v>0</v>
      </c>
    </row>
    <row r="60" spans="1:8" x14ac:dyDescent="0.2">
      <c r="A60" t="s">
        <v>313</v>
      </c>
      <c r="B60">
        <v>2007</v>
      </c>
      <c r="C60">
        <v>15</v>
      </c>
      <c r="D60" s="3">
        <v>-1.2522</v>
      </c>
      <c r="E60" s="3">
        <v>-4.54</v>
      </c>
      <c r="F60">
        <v>0</v>
      </c>
      <c r="G60">
        <v>-15</v>
      </c>
      <c r="H60" s="6">
        <v>0</v>
      </c>
    </row>
    <row r="61" spans="1:8" x14ac:dyDescent="0.2">
      <c r="A61" t="s">
        <v>314</v>
      </c>
      <c r="B61">
        <v>2010</v>
      </c>
      <c r="C61">
        <v>15</v>
      </c>
      <c r="D61" s="3">
        <v>-1.9124000000000001</v>
      </c>
      <c r="E61" s="3">
        <v>2.63</v>
      </c>
      <c r="F61">
        <v>0</v>
      </c>
      <c r="G61">
        <v>-3</v>
      </c>
      <c r="H61" s="6">
        <v>0</v>
      </c>
    </row>
    <row r="62" spans="1:8" x14ac:dyDescent="0.2">
      <c r="A62" s="2" t="s">
        <v>234</v>
      </c>
      <c r="B62" s="2">
        <v>2014</v>
      </c>
      <c r="C62" s="2">
        <v>15</v>
      </c>
      <c r="D62" s="7">
        <v>-2.0169999999999999</v>
      </c>
      <c r="E62" s="7">
        <v>3.72</v>
      </c>
      <c r="F62" s="2">
        <v>0</v>
      </c>
      <c r="G62" s="2">
        <v>-17</v>
      </c>
      <c r="H62" s="5">
        <v>0</v>
      </c>
    </row>
    <row r="63" spans="1:8" x14ac:dyDescent="0.2">
      <c r="A63" t="s">
        <v>546</v>
      </c>
      <c r="B63">
        <v>2007</v>
      </c>
      <c r="C63">
        <v>15</v>
      </c>
      <c r="D63" s="3">
        <v>-2.2469999999999999</v>
      </c>
      <c r="E63" s="3">
        <v>0.37</v>
      </c>
      <c r="F63">
        <v>0</v>
      </c>
      <c r="G63">
        <v>-28</v>
      </c>
      <c r="H63" s="6">
        <v>0</v>
      </c>
    </row>
    <row r="64" spans="1:8" x14ac:dyDescent="0.2">
      <c r="A64" t="s">
        <v>87</v>
      </c>
      <c r="B64">
        <v>2012</v>
      </c>
      <c r="C64">
        <v>15</v>
      </c>
      <c r="D64" s="3">
        <v>-2.4321999999999999</v>
      </c>
      <c r="E64" s="3">
        <v>0.34</v>
      </c>
      <c r="F64">
        <v>1</v>
      </c>
      <c r="G64">
        <v>-32</v>
      </c>
      <c r="H64" s="6">
        <v>2</v>
      </c>
    </row>
    <row r="65" spans="1:8" x14ac:dyDescent="0.2">
      <c r="A65" t="s">
        <v>1079</v>
      </c>
      <c r="B65">
        <v>2002</v>
      </c>
      <c r="C65">
        <v>15</v>
      </c>
      <c r="D65" s="3">
        <v>-3.073</v>
      </c>
      <c r="E65" s="3">
        <v>-5.36</v>
      </c>
      <c r="F65">
        <v>0</v>
      </c>
      <c r="G65">
        <v>-8</v>
      </c>
      <c r="H65" s="6">
        <v>0</v>
      </c>
    </row>
    <row r="66" spans="1:8" x14ac:dyDescent="0.2">
      <c r="A66" t="s">
        <v>688</v>
      </c>
      <c r="B66">
        <v>2005</v>
      </c>
      <c r="C66">
        <v>15</v>
      </c>
      <c r="D66" s="3">
        <v>-3.2503000000000002</v>
      </c>
      <c r="E66" s="3">
        <v>-2.33</v>
      </c>
      <c r="F66">
        <v>0</v>
      </c>
      <c r="G66">
        <v>-6</v>
      </c>
      <c r="H66" s="6">
        <v>0</v>
      </c>
    </row>
    <row r="67" spans="1:8" x14ac:dyDescent="0.2">
      <c r="A67" t="s">
        <v>621</v>
      </c>
      <c r="B67">
        <v>2004</v>
      </c>
      <c r="C67">
        <v>15</v>
      </c>
      <c r="D67" s="3">
        <v>-3.456</v>
      </c>
      <c r="E67" s="3">
        <v>0.96</v>
      </c>
      <c r="F67">
        <v>0</v>
      </c>
      <c r="G67">
        <v>-33</v>
      </c>
      <c r="H67" s="6">
        <v>0</v>
      </c>
    </row>
    <row r="68" spans="1:8" x14ac:dyDescent="0.2">
      <c r="A68" s="2" t="s">
        <v>971</v>
      </c>
      <c r="B68" s="4">
        <v>2015</v>
      </c>
      <c r="C68" s="2">
        <v>15</v>
      </c>
      <c r="D68" s="7">
        <v>-3.8948999999999998</v>
      </c>
      <c r="E68" s="7">
        <v>9.56</v>
      </c>
      <c r="F68" s="2">
        <v>0</v>
      </c>
      <c r="G68" s="2">
        <v>-21</v>
      </c>
      <c r="H68" s="5">
        <v>0</v>
      </c>
    </row>
    <row r="69" spans="1:8" x14ac:dyDescent="0.2">
      <c r="A69" t="s">
        <v>59</v>
      </c>
      <c r="B69">
        <v>2002</v>
      </c>
      <c r="C69">
        <v>15</v>
      </c>
      <c r="D69" s="3">
        <v>-6.0522</v>
      </c>
      <c r="E69" s="3">
        <v>0.67</v>
      </c>
      <c r="F69">
        <v>0</v>
      </c>
      <c r="G69">
        <v>-19</v>
      </c>
      <c r="H69" s="6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69"/>
  <sheetViews>
    <sheetView workbookViewId="0">
      <selection activeCell="H19" sqref="H19"/>
    </sheetView>
  </sheetViews>
  <sheetFormatPr baseColWidth="10" defaultRowHeight="16" x14ac:dyDescent="0.2"/>
  <cols>
    <col min="1" max="1" width="21.83203125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1178</v>
      </c>
      <c r="E1" s="1" t="s">
        <v>1176</v>
      </c>
      <c r="F1" s="1" t="s">
        <v>65</v>
      </c>
      <c r="G1" s="1" t="s">
        <v>91</v>
      </c>
      <c r="H1" s="1" t="s">
        <v>92</v>
      </c>
    </row>
    <row r="2" spans="1:8" x14ac:dyDescent="0.2">
      <c r="A2" t="s">
        <v>466</v>
      </c>
      <c r="B2">
        <v>2006</v>
      </c>
      <c r="C2">
        <v>16</v>
      </c>
      <c r="D2" s="3">
        <v>5.9085999999999999</v>
      </c>
      <c r="E2" s="3">
        <v>5.45</v>
      </c>
      <c r="F2">
        <v>0</v>
      </c>
      <c r="G2">
        <v>-16</v>
      </c>
      <c r="H2" s="6">
        <v>0</v>
      </c>
    </row>
    <row r="3" spans="1:8" x14ac:dyDescent="0.2">
      <c r="A3" t="s">
        <v>388</v>
      </c>
      <c r="B3">
        <v>2008</v>
      </c>
      <c r="C3">
        <v>16</v>
      </c>
      <c r="D3" s="3">
        <v>5.6898</v>
      </c>
      <c r="E3" s="3">
        <v>1.56</v>
      </c>
      <c r="F3">
        <v>0</v>
      </c>
      <c r="G3">
        <v>-24</v>
      </c>
      <c r="H3" s="6">
        <v>0</v>
      </c>
    </row>
    <row r="4" spans="1:8" x14ac:dyDescent="0.2">
      <c r="A4" t="s">
        <v>690</v>
      </c>
      <c r="B4">
        <v>2005</v>
      </c>
      <c r="C4">
        <v>16</v>
      </c>
      <c r="D4" s="3">
        <v>5.2846000000000002</v>
      </c>
      <c r="E4" s="3">
        <v>4.84</v>
      </c>
      <c r="F4">
        <v>0</v>
      </c>
      <c r="G4">
        <v>-11</v>
      </c>
      <c r="H4" s="6">
        <v>0</v>
      </c>
    </row>
    <row r="5" spans="1:8" x14ac:dyDescent="0.2">
      <c r="A5" t="s">
        <v>89</v>
      </c>
      <c r="B5">
        <v>2012</v>
      </c>
      <c r="C5">
        <v>16</v>
      </c>
      <c r="D5" s="3">
        <v>4.9413</v>
      </c>
      <c r="E5" s="3">
        <v>6.43</v>
      </c>
      <c r="F5">
        <v>0</v>
      </c>
      <c r="G5">
        <v>-7</v>
      </c>
      <c r="H5" s="6">
        <v>0</v>
      </c>
    </row>
    <row r="6" spans="1:8" x14ac:dyDescent="0.2">
      <c r="A6" t="s">
        <v>315</v>
      </c>
      <c r="B6">
        <v>2009</v>
      </c>
      <c r="C6">
        <v>16</v>
      </c>
      <c r="D6" s="3">
        <v>4.9260000000000002</v>
      </c>
      <c r="E6" s="3">
        <v>-2.42</v>
      </c>
      <c r="F6">
        <v>0</v>
      </c>
      <c r="G6">
        <v>-10</v>
      </c>
      <c r="H6" s="6">
        <v>0</v>
      </c>
    </row>
    <row r="7" spans="1:8" x14ac:dyDescent="0.2">
      <c r="A7" t="s">
        <v>88</v>
      </c>
      <c r="B7">
        <v>2012</v>
      </c>
      <c r="C7">
        <v>16</v>
      </c>
      <c r="D7" s="3">
        <v>4.2485999999999997</v>
      </c>
      <c r="E7" s="3">
        <v>-1.35</v>
      </c>
      <c r="F7">
        <v>0</v>
      </c>
      <c r="G7">
        <v>-19</v>
      </c>
      <c r="H7" s="6">
        <v>0</v>
      </c>
    </row>
    <row r="8" spans="1:8" x14ac:dyDescent="0.2">
      <c r="A8" s="2" t="s">
        <v>544</v>
      </c>
      <c r="B8" s="2">
        <v>2018</v>
      </c>
      <c r="C8" s="2">
        <v>16</v>
      </c>
      <c r="D8" s="7">
        <v>3.7</v>
      </c>
      <c r="E8" s="7">
        <v>-2.77</v>
      </c>
      <c r="F8" s="2">
        <v>0</v>
      </c>
      <c r="G8" s="2">
        <v>-16</v>
      </c>
      <c r="H8" s="6">
        <v>0</v>
      </c>
    </row>
    <row r="9" spans="1:8" x14ac:dyDescent="0.2">
      <c r="A9" t="s">
        <v>88</v>
      </c>
      <c r="B9">
        <v>2010</v>
      </c>
      <c r="C9">
        <v>16</v>
      </c>
      <c r="D9" s="3">
        <v>3.0087000000000002</v>
      </c>
      <c r="E9" s="3">
        <v>-5.46</v>
      </c>
      <c r="F9">
        <v>0</v>
      </c>
      <c r="G9">
        <v>-23</v>
      </c>
      <c r="H9" s="6">
        <v>0</v>
      </c>
    </row>
    <row r="10" spans="1:8" x14ac:dyDescent="0.2">
      <c r="A10" t="s">
        <v>315</v>
      </c>
      <c r="B10">
        <v>2010</v>
      </c>
      <c r="C10">
        <v>16</v>
      </c>
      <c r="D10" s="3">
        <v>2.3096999999999999</v>
      </c>
      <c r="E10" s="3">
        <v>6.73</v>
      </c>
      <c r="F10">
        <v>0</v>
      </c>
      <c r="G10">
        <v>-29</v>
      </c>
      <c r="H10" s="6">
        <v>0</v>
      </c>
    </row>
    <row r="11" spans="1:8" x14ac:dyDescent="0.2">
      <c r="A11" t="s">
        <v>56</v>
      </c>
      <c r="B11">
        <v>2006</v>
      </c>
      <c r="C11">
        <v>16</v>
      </c>
      <c r="D11" s="3">
        <v>2.2955000000000001</v>
      </c>
      <c r="E11" s="3">
        <v>-0.96</v>
      </c>
      <c r="F11">
        <v>0</v>
      </c>
      <c r="G11">
        <v>-13</v>
      </c>
      <c r="H11" s="6">
        <v>0</v>
      </c>
    </row>
    <row r="12" spans="1:8" x14ac:dyDescent="0.2">
      <c r="A12" t="s">
        <v>89</v>
      </c>
      <c r="B12">
        <v>2011</v>
      </c>
      <c r="C12">
        <v>16</v>
      </c>
      <c r="D12" s="3">
        <v>2.254</v>
      </c>
      <c r="E12" s="3">
        <v>4.54</v>
      </c>
      <c r="F12">
        <v>0</v>
      </c>
      <c r="G12">
        <v>-23</v>
      </c>
      <c r="H12" s="6">
        <v>0</v>
      </c>
    </row>
    <row r="13" spans="1:8" x14ac:dyDescent="0.2">
      <c r="A13" t="s">
        <v>88</v>
      </c>
      <c r="B13">
        <v>2003</v>
      </c>
      <c r="C13">
        <v>16</v>
      </c>
      <c r="D13" s="3">
        <v>1.9018999999999999</v>
      </c>
      <c r="E13" s="3">
        <v>-4.09</v>
      </c>
      <c r="F13">
        <v>0</v>
      </c>
      <c r="G13">
        <v>-29</v>
      </c>
      <c r="H13" s="6">
        <v>0</v>
      </c>
    </row>
    <row r="14" spans="1:8" x14ac:dyDescent="0.2">
      <c r="A14" s="2" t="s">
        <v>903</v>
      </c>
      <c r="B14" s="4">
        <v>2015</v>
      </c>
      <c r="C14" s="2">
        <v>16</v>
      </c>
      <c r="D14" s="7">
        <v>1.6103000000000001</v>
      </c>
      <c r="E14" s="7">
        <v>-4.66</v>
      </c>
      <c r="F14" s="2">
        <v>0</v>
      </c>
      <c r="G14" s="2">
        <v>-14</v>
      </c>
      <c r="H14" s="5">
        <v>0</v>
      </c>
    </row>
    <row r="15" spans="1:8" x14ac:dyDescent="0.2">
      <c r="A15" t="s">
        <v>830</v>
      </c>
      <c r="B15">
        <v>2003</v>
      </c>
      <c r="C15">
        <v>16</v>
      </c>
      <c r="D15" s="3">
        <v>0.71230000000000004</v>
      </c>
      <c r="E15" s="3">
        <v>1.21</v>
      </c>
      <c r="F15">
        <v>0</v>
      </c>
      <c r="G15">
        <v>-31</v>
      </c>
      <c r="H15" s="6">
        <v>0</v>
      </c>
    </row>
    <row r="16" spans="1:8" x14ac:dyDescent="0.2">
      <c r="A16" t="s">
        <v>1189</v>
      </c>
      <c r="B16">
        <v>2012</v>
      </c>
      <c r="C16">
        <v>16</v>
      </c>
      <c r="D16" s="3">
        <v>0.57030000000000003</v>
      </c>
      <c r="E16" s="3">
        <v>-4.3899999999999997</v>
      </c>
      <c r="F16">
        <v>0</v>
      </c>
      <c r="G16">
        <v>-22</v>
      </c>
      <c r="H16" s="6">
        <v>0</v>
      </c>
    </row>
    <row r="17" spans="1:8" x14ac:dyDescent="0.2">
      <c r="A17" t="s">
        <v>233</v>
      </c>
      <c r="B17">
        <v>2009</v>
      </c>
      <c r="C17">
        <v>16</v>
      </c>
      <c r="D17" s="3">
        <v>-1.09E-2</v>
      </c>
      <c r="E17" s="3">
        <v>0.32</v>
      </c>
      <c r="F17">
        <v>0</v>
      </c>
      <c r="G17">
        <v>-20</v>
      </c>
      <c r="H17" s="6">
        <v>0</v>
      </c>
    </row>
    <row r="18" spans="1:8" x14ac:dyDescent="0.2">
      <c r="A18" s="2" t="s">
        <v>394</v>
      </c>
      <c r="B18" s="2">
        <v>2018</v>
      </c>
      <c r="C18" s="2">
        <v>16</v>
      </c>
      <c r="D18" s="7">
        <v>-0.05</v>
      </c>
      <c r="E18" s="7">
        <v>4.01</v>
      </c>
      <c r="F18" s="2">
        <v>0</v>
      </c>
      <c r="G18" s="2">
        <v>-26</v>
      </c>
      <c r="H18" s="6">
        <v>0</v>
      </c>
    </row>
    <row r="19" spans="1:8" x14ac:dyDescent="0.2">
      <c r="A19" s="2" t="s">
        <v>58</v>
      </c>
      <c r="B19">
        <v>2013</v>
      </c>
      <c r="C19">
        <v>16</v>
      </c>
      <c r="D19" s="7">
        <v>-0.30690000000000001</v>
      </c>
      <c r="E19" s="3">
        <v>-0.56000000000000005</v>
      </c>
      <c r="F19">
        <v>0</v>
      </c>
      <c r="G19">
        <v>-6</v>
      </c>
      <c r="H19" s="6">
        <v>0</v>
      </c>
    </row>
    <row r="20" spans="1:8" x14ac:dyDescent="0.2">
      <c r="A20" s="2" t="s">
        <v>546</v>
      </c>
      <c r="B20" s="2">
        <v>2014</v>
      </c>
      <c r="C20" s="2">
        <v>16</v>
      </c>
      <c r="D20" s="7">
        <v>-0.43359999999999999</v>
      </c>
      <c r="E20" s="7">
        <v>4.3600000000000003</v>
      </c>
      <c r="F20" s="2">
        <v>0</v>
      </c>
      <c r="G20" s="2">
        <v>-9</v>
      </c>
      <c r="H20" s="5">
        <v>0</v>
      </c>
    </row>
    <row r="21" spans="1:8" x14ac:dyDescent="0.2">
      <c r="A21" t="s">
        <v>239</v>
      </c>
      <c r="B21">
        <v>2011</v>
      </c>
      <c r="C21">
        <v>16</v>
      </c>
      <c r="D21" s="3">
        <v>-0.44579999999999997</v>
      </c>
      <c r="E21" s="3">
        <v>0.77</v>
      </c>
      <c r="F21">
        <v>0</v>
      </c>
      <c r="G21">
        <v>-19</v>
      </c>
      <c r="H21" s="6">
        <v>0</v>
      </c>
    </row>
    <row r="22" spans="1:8" x14ac:dyDescent="0.2">
      <c r="A22" t="s">
        <v>394</v>
      </c>
      <c r="B22">
        <v>2009</v>
      </c>
      <c r="C22">
        <v>16</v>
      </c>
      <c r="D22" s="3">
        <v>-0.47560000000000002</v>
      </c>
      <c r="E22" s="3">
        <v>6.19</v>
      </c>
      <c r="F22">
        <v>0</v>
      </c>
      <c r="G22">
        <v>-43</v>
      </c>
      <c r="H22" s="6">
        <v>0</v>
      </c>
    </row>
    <row r="23" spans="1:8" x14ac:dyDescent="0.2">
      <c r="A23" s="2" t="s">
        <v>902</v>
      </c>
      <c r="B23" s="2">
        <v>2014</v>
      </c>
      <c r="C23" s="2">
        <v>16</v>
      </c>
      <c r="D23" s="7">
        <v>-0.54120000000000001</v>
      </c>
      <c r="E23" s="7">
        <v>7.3</v>
      </c>
      <c r="F23" s="2">
        <v>0</v>
      </c>
      <c r="G23" s="2">
        <v>-27</v>
      </c>
      <c r="H23" s="5">
        <v>0</v>
      </c>
    </row>
    <row r="24" spans="1:8" x14ac:dyDescent="0.2">
      <c r="A24" s="2" t="s">
        <v>903</v>
      </c>
      <c r="B24" s="2">
        <v>2014</v>
      </c>
      <c r="C24" s="2">
        <v>16</v>
      </c>
      <c r="D24" s="7">
        <v>-0.59870000000000001</v>
      </c>
      <c r="E24" s="7">
        <v>-3.97</v>
      </c>
      <c r="F24" s="2">
        <v>0</v>
      </c>
      <c r="G24" s="2">
        <v>-11</v>
      </c>
      <c r="H24" s="5">
        <v>0</v>
      </c>
    </row>
    <row r="25" spans="1:8" x14ac:dyDescent="0.2">
      <c r="A25" s="2" t="s">
        <v>61</v>
      </c>
      <c r="B25">
        <v>2013</v>
      </c>
      <c r="C25">
        <v>16</v>
      </c>
      <c r="D25" s="7">
        <v>-0.95840000000000003</v>
      </c>
      <c r="E25" s="3">
        <v>3.22</v>
      </c>
      <c r="F25">
        <v>0</v>
      </c>
      <c r="G25">
        <v>-7</v>
      </c>
      <c r="H25" s="6">
        <v>0</v>
      </c>
    </row>
    <row r="26" spans="1:8" x14ac:dyDescent="0.2">
      <c r="A26" t="s">
        <v>231</v>
      </c>
      <c r="B26">
        <v>2005</v>
      </c>
      <c r="C26">
        <v>16</v>
      </c>
      <c r="D26" s="3">
        <v>-0.97250000000000003</v>
      </c>
      <c r="E26" s="3">
        <v>10.38</v>
      </c>
      <c r="F26">
        <v>0</v>
      </c>
      <c r="G26">
        <v>-28</v>
      </c>
      <c r="H26" s="6">
        <v>0</v>
      </c>
    </row>
    <row r="27" spans="1:8" x14ac:dyDescent="0.2">
      <c r="A27" t="s">
        <v>473</v>
      </c>
      <c r="B27">
        <v>2008</v>
      </c>
      <c r="C27">
        <v>16</v>
      </c>
      <c r="D27" s="3">
        <v>-0.998</v>
      </c>
      <c r="E27" s="3">
        <v>0</v>
      </c>
      <c r="F27">
        <v>0</v>
      </c>
      <c r="G27">
        <v>-39</v>
      </c>
      <c r="H27" s="6">
        <v>0</v>
      </c>
    </row>
    <row r="28" spans="1:8" x14ac:dyDescent="0.2">
      <c r="A28" t="s">
        <v>541</v>
      </c>
      <c r="B28">
        <v>2002</v>
      </c>
      <c r="C28">
        <v>16</v>
      </c>
      <c r="D28" s="3">
        <v>-1.0639000000000001</v>
      </c>
      <c r="E28" s="3">
        <v>-3.17</v>
      </c>
      <c r="F28">
        <v>0</v>
      </c>
      <c r="G28">
        <v>-11</v>
      </c>
      <c r="H28" s="6">
        <v>0</v>
      </c>
    </row>
    <row r="29" spans="1:8" x14ac:dyDescent="0.2">
      <c r="A29" s="2" t="s">
        <v>50</v>
      </c>
      <c r="B29" s="2">
        <v>2017</v>
      </c>
      <c r="C29" s="2">
        <v>16</v>
      </c>
      <c r="D29" s="7">
        <v>-1.33</v>
      </c>
      <c r="E29" s="2">
        <v>1.6</v>
      </c>
      <c r="F29" s="2">
        <v>0</v>
      </c>
      <c r="G29" s="2">
        <v>-20</v>
      </c>
      <c r="H29" s="5">
        <v>0</v>
      </c>
    </row>
    <row r="30" spans="1:8" x14ac:dyDescent="0.2">
      <c r="A30" s="2" t="s">
        <v>54</v>
      </c>
      <c r="B30" s="2">
        <v>2016</v>
      </c>
      <c r="C30" s="2">
        <v>16</v>
      </c>
      <c r="D30" s="7">
        <v>-1.4189000000000001</v>
      </c>
      <c r="E30" s="7">
        <v>-0.24</v>
      </c>
      <c r="F30" s="2">
        <v>0</v>
      </c>
      <c r="G30" s="2">
        <v>-16</v>
      </c>
      <c r="H30" s="5">
        <v>0</v>
      </c>
    </row>
    <row r="31" spans="1:8" x14ac:dyDescent="0.2">
      <c r="A31" t="s">
        <v>84</v>
      </c>
      <c r="B31">
        <v>2010</v>
      </c>
      <c r="C31">
        <v>16</v>
      </c>
      <c r="D31" s="3">
        <v>-1.4335</v>
      </c>
      <c r="E31" s="3">
        <v>-9.0500000000000007</v>
      </c>
      <c r="F31">
        <v>0</v>
      </c>
      <c r="G31">
        <v>-16</v>
      </c>
      <c r="H31" s="6">
        <v>0</v>
      </c>
    </row>
    <row r="32" spans="1:8" x14ac:dyDescent="0.2">
      <c r="A32" s="2" t="s">
        <v>314</v>
      </c>
      <c r="B32" s="4">
        <v>2015</v>
      </c>
      <c r="C32" s="2">
        <v>16</v>
      </c>
      <c r="D32" s="7">
        <v>-1.5714999999999999</v>
      </c>
      <c r="E32" s="7">
        <v>2.13</v>
      </c>
      <c r="F32" s="2">
        <v>0</v>
      </c>
      <c r="G32" s="2">
        <v>-29</v>
      </c>
      <c r="H32" s="5">
        <v>0</v>
      </c>
    </row>
    <row r="33" spans="1:8" x14ac:dyDescent="0.2">
      <c r="A33" s="2" t="s">
        <v>60</v>
      </c>
      <c r="B33">
        <v>2013</v>
      </c>
      <c r="C33">
        <v>16</v>
      </c>
      <c r="D33" s="7">
        <v>-1.6594</v>
      </c>
      <c r="E33" s="3">
        <v>-4.0999999999999996</v>
      </c>
      <c r="F33">
        <v>0</v>
      </c>
      <c r="G33">
        <v>-21</v>
      </c>
      <c r="H33" s="6">
        <v>0</v>
      </c>
    </row>
    <row r="34" spans="1:8" x14ac:dyDescent="0.2">
      <c r="A34" t="s">
        <v>309</v>
      </c>
      <c r="B34">
        <v>2002</v>
      </c>
      <c r="C34">
        <v>16</v>
      </c>
      <c r="D34" s="3">
        <v>-1.6889000000000001</v>
      </c>
      <c r="E34" s="3">
        <v>-1.1499999999999999</v>
      </c>
      <c r="F34">
        <v>0</v>
      </c>
      <c r="G34">
        <v>-15</v>
      </c>
      <c r="H34" s="6">
        <v>0</v>
      </c>
    </row>
    <row r="35" spans="1:8" x14ac:dyDescent="0.2">
      <c r="A35" s="2" t="s">
        <v>56</v>
      </c>
      <c r="B35" s="2">
        <v>2014</v>
      </c>
      <c r="C35" s="2">
        <v>16</v>
      </c>
      <c r="D35" s="7">
        <v>-1.6930000000000001</v>
      </c>
      <c r="E35" s="7">
        <v>-1.5</v>
      </c>
      <c r="F35" s="2">
        <v>0</v>
      </c>
      <c r="G35" s="2">
        <v>-12</v>
      </c>
      <c r="H35" s="5">
        <v>0</v>
      </c>
    </row>
    <row r="36" spans="1:8" x14ac:dyDescent="0.2">
      <c r="A36" s="2" t="s">
        <v>972</v>
      </c>
      <c r="B36" s="4">
        <v>2015</v>
      </c>
      <c r="C36" s="2">
        <v>16</v>
      </c>
      <c r="D36" s="7">
        <v>-1.7070000000000001</v>
      </c>
      <c r="E36" s="7">
        <v>-1.04</v>
      </c>
      <c r="F36" s="2">
        <v>0</v>
      </c>
      <c r="G36" s="2">
        <v>-41</v>
      </c>
      <c r="H36" s="5">
        <v>0</v>
      </c>
    </row>
    <row r="37" spans="1:8" x14ac:dyDescent="0.2">
      <c r="A37" t="s">
        <v>474</v>
      </c>
      <c r="B37">
        <v>2008</v>
      </c>
      <c r="C37">
        <v>16</v>
      </c>
      <c r="D37" s="3">
        <v>-1.8802000000000001</v>
      </c>
      <c r="E37" s="3">
        <v>-5.21</v>
      </c>
      <c r="F37">
        <v>0</v>
      </c>
      <c r="G37">
        <v>-24</v>
      </c>
      <c r="H37" s="6">
        <v>0</v>
      </c>
    </row>
    <row r="38" spans="1:8" x14ac:dyDescent="0.2">
      <c r="A38" s="2" t="s">
        <v>471</v>
      </c>
      <c r="B38" s="2">
        <v>2018</v>
      </c>
      <c r="C38" s="2">
        <v>16</v>
      </c>
      <c r="D38" s="7">
        <v>-1.91</v>
      </c>
      <c r="E38" s="7">
        <v>-3.4</v>
      </c>
      <c r="F38" s="2"/>
      <c r="G38" s="2"/>
      <c r="H38" s="10"/>
    </row>
    <row r="39" spans="1:8" x14ac:dyDescent="0.2">
      <c r="A39" t="s">
        <v>621</v>
      </c>
      <c r="B39">
        <v>2006</v>
      </c>
      <c r="C39">
        <v>16</v>
      </c>
      <c r="D39" s="3">
        <v>-1.9145000000000001</v>
      </c>
      <c r="E39" s="3">
        <v>1.7</v>
      </c>
      <c r="F39">
        <v>0</v>
      </c>
      <c r="G39">
        <v>-13</v>
      </c>
      <c r="H39" s="6">
        <v>0</v>
      </c>
    </row>
    <row r="40" spans="1:8" x14ac:dyDescent="0.2">
      <c r="A40" t="s">
        <v>551</v>
      </c>
      <c r="B40">
        <v>2007</v>
      </c>
      <c r="C40">
        <v>16</v>
      </c>
      <c r="D40" s="3">
        <v>-2.0649999999999999</v>
      </c>
      <c r="E40" s="3">
        <v>-4.6500000000000004</v>
      </c>
      <c r="F40">
        <v>0</v>
      </c>
      <c r="G40">
        <v>-21</v>
      </c>
      <c r="H40" s="6">
        <v>0</v>
      </c>
    </row>
    <row r="41" spans="1:8" x14ac:dyDescent="0.2">
      <c r="A41" t="s">
        <v>547</v>
      </c>
      <c r="B41">
        <v>2007</v>
      </c>
      <c r="C41">
        <v>16</v>
      </c>
      <c r="D41" s="3">
        <v>-2.6884999999999999</v>
      </c>
      <c r="E41" s="3">
        <v>-4.33</v>
      </c>
      <c r="F41">
        <v>0</v>
      </c>
      <c r="G41">
        <v>-40</v>
      </c>
      <c r="H41" s="6">
        <v>0</v>
      </c>
    </row>
    <row r="42" spans="1:8" x14ac:dyDescent="0.2">
      <c r="A42" t="s">
        <v>548</v>
      </c>
      <c r="B42">
        <v>2007</v>
      </c>
      <c r="C42">
        <v>16</v>
      </c>
      <c r="D42" s="3">
        <v>-2.6957</v>
      </c>
      <c r="E42" s="3">
        <v>2.46</v>
      </c>
      <c r="F42">
        <v>0</v>
      </c>
      <c r="G42">
        <v>-21</v>
      </c>
      <c r="H42" s="6">
        <v>0</v>
      </c>
    </row>
    <row r="43" spans="1:8" x14ac:dyDescent="0.2">
      <c r="A43" t="s">
        <v>761</v>
      </c>
      <c r="B43">
        <v>2004</v>
      </c>
      <c r="C43">
        <v>16</v>
      </c>
      <c r="D43" s="3">
        <v>-2.7313000000000001</v>
      </c>
      <c r="E43" s="3">
        <v>4.16</v>
      </c>
      <c r="F43">
        <v>0</v>
      </c>
      <c r="G43">
        <v>-19</v>
      </c>
      <c r="H43" s="6">
        <v>0</v>
      </c>
    </row>
    <row r="44" spans="1:8" x14ac:dyDescent="0.2">
      <c r="A44" t="s">
        <v>61</v>
      </c>
      <c r="B44">
        <v>2012</v>
      </c>
      <c r="C44">
        <v>16</v>
      </c>
      <c r="D44" s="3">
        <v>-2.8431000000000002</v>
      </c>
      <c r="E44" s="3">
        <v>4.3899999999999997</v>
      </c>
      <c r="F44">
        <v>0</v>
      </c>
      <c r="G44">
        <v>-15</v>
      </c>
      <c r="H44" s="6">
        <v>0</v>
      </c>
    </row>
    <row r="45" spans="1:8" x14ac:dyDescent="0.2">
      <c r="A45" t="s">
        <v>59</v>
      </c>
      <c r="B45">
        <v>2005</v>
      </c>
      <c r="C45">
        <v>16</v>
      </c>
      <c r="D45" s="3">
        <v>-2.8854000000000002</v>
      </c>
      <c r="E45" s="3">
        <v>2.83</v>
      </c>
      <c r="F45">
        <v>0</v>
      </c>
      <c r="G45">
        <v>-11</v>
      </c>
      <c r="H45" s="6">
        <v>0</v>
      </c>
    </row>
    <row r="46" spans="1:8" x14ac:dyDescent="0.2">
      <c r="A46" t="s">
        <v>239</v>
      </c>
      <c r="B46">
        <v>2002</v>
      </c>
      <c r="C46">
        <v>16</v>
      </c>
      <c r="D46" s="3">
        <v>-3.0207999999999999</v>
      </c>
      <c r="E46" s="3">
        <v>-2.35</v>
      </c>
      <c r="F46">
        <v>0</v>
      </c>
      <c r="G46">
        <v>-38</v>
      </c>
      <c r="H46" s="6">
        <v>0</v>
      </c>
    </row>
    <row r="47" spans="1:8" x14ac:dyDescent="0.2">
      <c r="A47" t="s">
        <v>689</v>
      </c>
      <c r="B47">
        <v>2005</v>
      </c>
      <c r="C47">
        <v>16</v>
      </c>
      <c r="D47" s="3">
        <v>-3.0472000000000001</v>
      </c>
      <c r="E47" s="3">
        <v>-1.27</v>
      </c>
      <c r="F47">
        <v>0</v>
      </c>
      <c r="G47">
        <v>-12</v>
      </c>
      <c r="H47" s="6">
        <v>0</v>
      </c>
    </row>
    <row r="48" spans="1:8" x14ac:dyDescent="0.2">
      <c r="A48" s="2" t="s">
        <v>971</v>
      </c>
      <c r="B48" s="2">
        <v>2017</v>
      </c>
      <c r="C48" s="2">
        <v>16</v>
      </c>
      <c r="D48" s="7">
        <v>-3.66</v>
      </c>
      <c r="E48" s="2">
        <v>12.97</v>
      </c>
      <c r="F48" s="2">
        <v>0</v>
      </c>
      <c r="G48" s="2">
        <v>-39</v>
      </c>
      <c r="H48" s="5">
        <v>0</v>
      </c>
    </row>
    <row r="49" spans="1:8" x14ac:dyDescent="0.2">
      <c r="A49" t="s">
        <v>58</v>
      </c>
      <c r="B49">
        <v>2006</v>
      </c>
      <c r="C49">
        <v>16</v>
      </c>
      <c r="D49" s="3">
        <v>-3.6634000000000002</v>
      </c>
      <c r="E49" s="3">
        <v>8.81</v>
      </c>
      <c r="F49">
        <v>0</v>
      </c>
      <c r="G49">
        <v>-16</v>
      </c>
      <c r="H49" s="6">
        <v>0</v>
      </c>
    </row>
    <row r="50" spans="1:8" x14ac:dyDescent="0.2">
      <c r="A50" t="s">
        <v>241</v>
      </c>
      <c r="B50">
        <v>2011</v>
      </c>
      <c r="C50">
        <v>16</v>
      </c>
      <c r="D50" s="3">
        <v>-3.6701999999999999</v>
      </c>
      <c r="E50" s="3">
        <v>-5.14</v>
      </c>
      <c r="F50">
        <v>0</v>
      </c>
      <c r="G50">
        <v>-42</v>
      </c>
      <c r="H50" s="6">
        <v>0</v>
      </c>
    </row>
    <row r="51" spans="1:8" x14ac:dyDescent="0.2">
      <c r="A51" t="s">
        <v>395</v>
      </c>
      <c r="B51">
        <v>2009</v>
      </c>
      <c r="C51">
        <v>16</v>
      </c>
      <c r="D51" s="3">
        <v>-3.746</v>
      </c>
      <c r="E51" s="3">
        <v>10.119999999999999</v>
      </c>
      <c r="F51">
        <v>0</v>
      </c>
      <c r="G51">
        <v>-56</v>
      </c>
      <c r="H51" s="6">
        <v>0</v>
      </c>
    </row>
    <row r="52" spans="1:8" x14ac:dyDescent="0.2">
      <c r="A52" s="2" t="s">
        <v>473</v>
      </c>
      <c r="B52" s="2">
        <v>2017</v>
      </c>
      <c r="C52" s="2">
        <v>16</v>
      </c>
      <c r="D52" s="7">
        <v>-4.2300000000000004</v>
      </c>
      <c r="E52" s="2">
        <v>11.64</v>
      </c>
      <c r="F52" s="2">
        <v>0</v>
      </c>
      <c r="G52" s="2">
        <v>-20</v>
      </c>
      <c r="H52" s="5">
        <v>0</v>
      </c>
    </row>
    <row r="53" spans="1:8" x14ac:dyDescent="0.2">
      <c r="A53" s="2" t="s">
        <v>1183</v>
      </c>
      <c r="B53" s="2">
        <v>2017</v>
      </c>
      <c r="C53" s="2">
        <v>16</v>
      </c>
      <c r="D53" s="7">
        <v>-4.76</v>
      </c>
      <c r="E53" s="2">
        <v>-1.19</v>
      </c>
      <c r="F53" s="2">
        <v>0</v>
      </c>
      <c r="G53" s="2">
        <v>-38</v>
      </c>
      <c r="H53" s="5">
        <v>0</v>
      </c>
    </row>
    <row r="54" spans="1:8" x14ac:dyDescent="0.2">
      <c r="A54" t="s">
        <v>468</v>
      </c>
      <c r="B54">
        <v>2002</v>
      </c>
      <c r="C54">
        <v>16</v>
      </c>
      <c r="D54" s="3">
        <v>-5.0396000000000001</v>
      </c>
      <c r="E54" s="3">
        <v>-1.4</v>
      </c>
      <c r="F54">
        <v>0</v>
      </c>
      <c r="G54">
        <v>-47</v>
      </c>
      <c r="H54" s="6">
        <v>0</v>
      </c>
    </row>
    <row r="55" spans="1:8" x14ac:dyDescent="0.2">
      <c r="A55" s="2" t="s">
        <v>472</v>
      </c>
      <c r="B55" s="2">
        <v>2016</v>
      </c>
      <c r="C55" s="2">
        <v>16</v>
      </c>
      <c r="D55" s="7">
        <v>-5.0903999999999998</v>
      </c>
      <c r="E55" s="7">
        <v>-1.36</v>
      </c>
      <c r="F55" s="2">
        <v>0</v>
      </c>
      <c r="G55" s="2">
        <v>-26</v>
      </c>
      <c r="H55" s="5">
        <v>0</v>
      </c>
    </row>
    <row r="56" spans="1:8" x14ac:dyDescent="0.2">
      <c r="A56" t="s">
        <v>240</v>
      </c>
      <c r="B56">
        <v>2011</v>
      </c>
      <c r="C56">
        <v>16</v>
      </c>
      <c r="D56" s="3">
        <v>-5.1902999999999997</v>
      </c>
      <c r="E56" s="3">
        <v>-4.24</v>
      </c>
      <c r="F56">
        <v>0</v>
      </c>
      <c r="G56">
        <v>-29</v>
      </c>
      <c r="H56" s="6">
        <v>0</v>
      </c>
    </row>
    <row r="57" spans="1:8" x14ac:dyDescent="0.2">
      <c r="A57" s="2" t="s">
        <v>62</v>
      </c>
      <c r="B57">
        <v>2013</v>
      </c>
      <c r="C57">
        <v>16</v>
      </c>
      <c r="D57" s="7">
        <v>-5.3056000000000001</v>
      </c>
      <c r="E57" s="3">
        <v>-4.0599999999999996</v>
      </c>
      <c r="F57">
        <v>0</v>
      </c>
      <c r="G57">
        <v>-31</v>
      </c>
      <c r="H57" s="6">
        <v>0</v>
      </c>
    </row>
    <row r="58" spans="1:8" x14ac:dyDescent="0.2">
      <c r="A58" s="2" t="s">
        <v>241</v>
      </c>
      <c r="B58" s="2">
        <v>2016</v>
      </c>
      <c r="C58" s="2">
        <v>16</v>
      </c>
      <c r="D58" s="7">
        <v>-6.8102999999999998</v>
      </c>
      <c r="E58" s="7">
        <v>-0.22</v>
      </c>
      <c r="F58" s="2">
        <v>0</v>
      </c>
      <c r="G58" s="2">
        <v>-36</v>
      </c>
      <c r="H58" s="5">
        <v>0</v>
      </c>
    </row>
    <row r="59" spans="1:8" x14ac:dyDescent="0.2">
      <c r="A59" t="s">
        <v>240</v>
      </c>
      <c r="B59">
        <v>2004</v>
      </c>
      <c r="C59">
        <v>16</v>
      </c>
      <c r="D59" s="3">
        <v>-7.3517000000000001</v>
      </c>
      <c r="E59" s="3">
        <v>-3.9</v>
      </c>
      <c r="F59">
        <v>0</v>
      </c>
      <c r="G59">
        <v>-26</v>
      </c>
      <c r="H59" s="6">
        <v>0</v>
      </c>
    </row>
    <row r="60" spans="1:8" x14ac:dyDescent="0.2">
      <c r="A60" s="2" t="s">
        <v>971</v>
      </c>
      <c r="B60" s="2">
        <v>2018</v>
      </c>
      <c r="C60" s="2">
        <v>16</v>
      </c>
      <c r="D60" s="7">
        <v>-7.66</v>
      </c>
      <c r="E60" s="7">
        <v>17.47</v>
      </c>
      <c r="F60">
        <v>0</v>
      </c>
      <c r="G60" s="2">
        <v>-19</v>
      </c>
      <c r="H60" s="6">
        <v>0</v>
      </c>
    </row>
    <row r="61" spans="1:8" x14ac:dyDescent="0.2">
      <c r="A61" t="s">
        <v>316</v>
      </c>
      <c r="B61">
        <v>2010</v>
      </c>
      <c r="C61">
        <v>16</v>
      </c>
      <c r="D61" s="3">
        <v>-7.7408999999999999</v>
      </c>
      <c r="E61" s="3">
        <v>11.9</v>
      </c>
      <c r="F61">
        <v>0</v>
      </c>
      <c r="G61">
        <v>-29</v>
      </c>
      <c r="H61" s="6">
        <v>0</v>
      </c>
    </row>
    <row r="62" spans="1:8" x14ac:dyDescent="0.2">
      <c r="A62" s="2" t="s">
        <v>241</v>
      </c>
      <c r="B62" s="4">
        <v>2015</v>
      </c>
      <c r="C62" s="2">
        <v>16</v>
      </c>
      <c r="D62" s="7">
        <v>-8.4804999999999993</v>
      </c>
      <c r="E62" s="7">
        <v>-3.16</v>
      </c>
      <c r="F62" s="2">
        <v>0</v>
      </c>
      <c r="G62" s="2">
        <v>-23</v>
      </c>
      <c r="H62" s="5">
        <v>0</v>
      </c>
    </row>
    <row r="63" spans="1:8" x14ac:dyDescent="0.2">
      <c r="A63" t="s">
        <v>831</v>
      </c>
      <c r="B63">
        <v>2003</v>
      </c>
      <c r="C63">
        <v>16</v>
      </c>
      <c r="D63" s="3">
        <v>-8.6914999999999996</v>
      </c>
      <c r="E63" s="3">
        <v>-3.85</v>
      </c>
      <c r="F63">
        <v>0</v>
      </c>
      <c r="G63">
        <v>-17</v>
      </c>
      <c r="H63" s="6">
        <v>0</v>
      </c>
    </row>
    <row r="64" spans="1:8" x14ac:dyDescent="0.2">
      <c r="A64" t="s">
        <v>550</v>
      </c>
      <c r="B64">
        <v>2007</v>
      </c>
      <c r="C64">
        <v>16</v>
      </c>
      <c r="D64" s="3">
        <v>-9.0731000000000002</v>
      </c>
      <c r="E64" s="3">
        <v>2.76</v>
      </c>
      <c r="F64">
        <v>0</v>
      </c>
      <c r="G64">
        <v>-43</v>
      </c>
      <c r="H64" s="6">
        <v>0</v>
      </c>
    </row>
    <row r="65" spans="1:8" x14ac:dyDescent="0.2">
      <c r="A65" t="s">
        <v>762</v>
      </c>
      <c r="B65">
        <v>2004</v>
      </c>
      <c r="C65">
        <v>16</v>
      </c>
      <c r="D65" s="3">
        <v>-10.491300000000001</v>
      </c>
      <c r="E65" s="3">
        <v>-1.59</v>
      </c>
      <c r="F65">
        <v>0</v>
      </c>
      <c r="G65">
        <v>-35</v>
      </c>
      <c r="H65" s="6">
        <v>0</v>
      </c>
    </row>
    <row r="66" spans="1:8" x14ac:dyDescent="0.2">
      <c r="A66" t="s">
        <v>549</v>
      </c>
      <c r="B66">
        <v>2004</v>
      </c>
      <c r="C66">
        <v>16</v>
      </c>
      <c r="D66" s="3">
        <v>-10.533300000000001</v>
      </c>
      <c r="E66" s="3">
        <v>-0.79</v>
      </c>
      <c r="F66">
        <v>0</v>
      </c>
      <c r="G66">
        <v>-20</v>
      </c>
      <c r="H66" s="6">
        <v>0</v>
      </c>
    </row>
    <row r="67" spans="1:8" x14ac:dyDescent="0.2">
      <c r="A67" s="2" t="s">
        <v>541</v>
      </c>
      <c r="B67" s="2">
        <v>2016</v>
      </c>
      <c r="C67" s="2">
        <v>16</v>
      </c>
      <c r="D67" s="7">
        <v>-11.507099999999999</v>
      </c>
      <c r="E67" s="7">
        <v>-6.46</v>
      </c>
      <c r="F67" s="2">
        <v>0</v>
      </c>
      <c r="G67" s="2">
        <v>-39</v>
      </c>
      <c r="H67" s="5">
        <v>0</v>
      </c>
    </row>
    <row r="68" spans="1:8" x14ac:dyDescent="0.2">
      <c r="A68" t="s">
        <v>89</v>
      </c>
      <c r="B68">
        <v>2003</v>
      </c>
      <c r="C68">
        <v>16</v>
      </c>
      <c r="D68" s="3">
        <v>-13.1767</v>
      </c>
      <c r="E68" s="3">
        <v>7.87</v>
      </c>
      <c r="F68">
        <v>0</v>
      </c>
      <c r="G68">
        <v>-21</v>
      </c>
      <c r="H68" s="6">
        <v>0</v>
      </c>
    </row>
    <row r="69" spans="1:8" x14ac:dyDescent="0.2">
      <c r="A69" t="s">
        <v>475</v>
      </c>
      <c r="B69">
        <v>2008</v>
      </c>
      <c r="C69">
        <v>16</v>
      </c>
      <c r="D69" s="3">
        <v>-14.6286</v>
      </c>
      <c r="E69" s="3">
        <v>9.43</v>
      </c>
      <c r="F69">
        <v>0</v>
      </c>
      <c r="G69">
        <v>-41</v>
      </c>
      <c r="H69" s="6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72"/>
  <sheetViews>
    <sheetView tabSelected="1" zoomScaleNormal="100" workbookViewId="0">
      <pane ySplit="1" topLeftCell="A2" activePane="bottomLeft" state="frozen"/>
      <selection pane="bottomLeft" activeCell="J3" sqref="J3"/>
    </sheetView>
  </sheetViews>
  <sheetFormatPr baseColWidth="10" defaultRowHeight="16" x14ac:dyDescent="0.2"/>
  <cols>
    <col min="1" max="1" width="44.1640625" style="2" bestFit="1" customWidth="1"/>
    <col min="2" max="2" width="5.1640625" style="2" bestFit="1" customWidth="1"/>
    <col min="3" max="3" width="6.5" style="2" bestFit="1" customWidth="1"/>
    <col min="4" max="4" width="9.33203125" style="2" bestFit="1" customWidth="1"/>
    <col min="5" max="8" width="10.83203125" style="2" customWidth="1"/>
    <col min="9" max="9" width="11" style="2" customWidth="1"/>
    <col min="10" max="11" width="10.83203125" style="2" customWidth="1"/>
    <col min="12" max="12" width="8" style="2" bestFit="1" customWidth="1"/>
    <col min="13" max="13" width="13.6640625" style="2" bestFit="1" customWidth="1"/>
    <col min="14" max="16384" width="10.83203125" style="2"/>
  </cols>
  <sheetData>
    <row r="1" spans="1:14" s="1" customFormat="1" x14ac:dyDescent="0.2">
      <c r="A1" s="1" t="s">
        <v>93</v>
      </c>
      <c r="B1" s="1" t="s">
        <v>67</v>
      </c>
      <c r="C1" s="1" t="s">
        <v>973</v>
      </c>
      <c r="D1" s="1" t="s">
        <v>94</v>
      </c>
      <c r="E1" s="1" t="s">
        <v>1179</v>
      </c>
      <c r="F1" s="1" t="s">
        <v>1333</v>
      </c>
      <c r="G1" s="1" t="s">
        <v>1334</v>
      </c>
      <c r="H1" s="1" t="s">
        <v>1335</v>
      </c>
      <c r="I1" s="1" t="s">
        <v>1177</v>
      </c>
      <c r="J1" s="1" t="s">
        <v>95</v>
      </c>
      <c r="K1" s="1" t="s">
        <v>1193</v>
      </c>
      <c r="L1" s="1" t="s">
        <v>1322</v>
      </c>
      <c r="M1" s="1" t="s">
        <v>1297</v>
      </c>
      <c r="N1" s="1" t="s">
        <v>1336</v>
      </c>
    </row>
    <row r="2" spans="1:14" x14ac:dyDescent="0.2">
      <c r="A2" s="2" t="s">
        <v>1337</v>
      </c>
      <c r="B2" s="2">
        <v>0</v>
      </c>
      <c r="C2" s="2">
        <v>2</v>
      </c>
      <c r="D2" s="2">
        <v>2</v>
      </c>
      <c r="E2" s="2">
        <v>8.4262999999999995</v>
      </c>
      <c r="F2" s="2">
        <v>12.49</v>
      </c>
      <c r="G2" s="2">
        <v>-4.0647000000000002</v>
      </c>
      <c r="H2" s="2">
        <v>3.8576000000000001</v>
      </c>
      <c r="I2" s="2">
        <v>8.7100000000000009</v>
      </c>
      <c r="L2" s="2">
        <v>0.69</v>
      </c>
      <c r="M2">
        <v>0.64438987338099996</v>
      </c>
      <c r="N2" s="2">
        <v>4.0647000000000002</v>
      </c>
    </row>
    <row r="3" spans="1:14" x14ac:dyDescent="0.2">
      <c r="A3" s="2" t="s">
        <v>1331</v>
      </c>
      <c r="B3" s="2">
        <v>0</v>
      </c>
      <c r="C3" s="2">
        <v>4</v>
      </c>
      <c r="D3" s="2">
        <v>8</v>
      </c>
      <c r="E3" s="2">
        <v>7.5237999999999996</v>
      </c>
      <c r="F3" s="2">
        <v>3.2879999999999998</v>
      </c>
      <c r="G3" s="2">
        <v>4.2362000000000002</v>
      </c>
      <c r="H3" s="2">
        <v>-0.68420000000000003</v>
      </c>
      <c r="I3" s="2">
        <v>1.03</v>
      </c>
      <c r="L3" s="2">
        <v>0.66</v>
      </c>
      <c r="M3">
        <v>0.69455185393499996</v>
      </c>
      <c r="N3" s="2">
        <v>-4.2362000000000002</v>
      </c>
    </row>
    <row r="4" spans="1:14" x14ac:dyDescent="0.2">
      <c r="A4" s="2" t="s">
        <v>1332</v>
      </c>
      <c r="B4" s="2">
        <v>0</v>
      </c>
      <c r="C4" s="2">
        <v>4</v>
      </c>
      <c r="D4" s="2">
        <v>0</v>
      </c>
      <c r="E4" s="2">
        <v>8.7797000000000001</v>
      </c>
      <c r="F4" s="2">
        <v>6.2510000000000003</v>
      </c>
      <c r="G4" s="2">
        <v>2.5291999999999999</v>
      </c>
      <c r="H4" s="2">
        <v>-0.1232</v>
      </c>
      <c r="I4" s="2">
        <v>0.4</v>
      </c>
      <c r="L4" s="2">
        <v>0.71</v>
      </c>
      <c r="M4">
        <v>0.636472084637</v>
      </c>
      <c r="N4" s="2">
        <v>-2.5291999999999999</v>
      </c>
    </row>
    <row r="5" spans="1:14" s="1" customFormat="1" x14ac:dyDescent="0.2">
      <c r="A5" s="2" t="s">
        <v>1327</v>
      </c>
      <c r="B5" s="2">
        <v>2018</v>
      </c>
      <c r="C5" s="2">
        <v>8</v>
      </c>
      <c r="D5" s="2">
        <v>2</v>
      </c>
      <c r="E5" s="2">
        <v>-0.13</v>
      </c>
      <c r="F5" s="2">
        <v>-4.9000000000000004</v>
      </c>
      <c r="G5" s="2">
        <v>0.8</v>
      </c>
      <c r="H5" s="2">
        <v>0.4</v>
      </c>
      <c r="I5" s="2">
        <v>-0.4</v>
      </c>
      <c r="J5" s="2">
        <v>-16</v>
      </c>
      <c r="K5" s="2">
        <v>0</v>
      </c>
      <c r="L5" s="2">
        <f>0.5</f>
        <v>0.5</v>
      </c>
      <c r="M5">
        <v>0.66122643364300004</v>
      </c>
      <c r="N5" s="2">
        <v>-0.8</v>
      </c>
    </row>
    <row r="6" spans="1:14" s="1" customFormat="1" x14ac:dyDescent="0.2">
      <c r="A6" s="2" t="s">
        <v>1328</v>
      </c>
      <c r="B6" s="2">
        <v>2018</v>
      </c>
      <c r="C6" s="2">
        <v>8</v>
      </c>
      <c r="D6" s="2">
        <v>6</v>
      </c>
      <c r="E6" s="2">
        <v>6.45</v>
      </c>
      <c r="F6" s="2">
        <v>0.9</v>
      </c>
      <c r="G6" s="2">
        <v>5.5999999999999943</v>
      </c>
      <c r="H6" s="2">
        <v>-6.7</v>
      </c>
      <c r="I6" s="2">
        <v>2.12</v>
      </c>
      <c r="J6" s="2">
        <v>4</v>
      </c>
      <c r="K6" s="2">
        <v>1</v>
      </c>
      <c r="L6" s="2">
        <f>0.66</f>
        <v>0.66</v>
      </c>
      <c r="M6">
        <v>0.66908244947899997</v>
      </c>
      <c r="N6" s="2">
        <f>91.7-97.3</f>
        <v>-5.5999999999999943</v>
      </c>
    </row>
    <row r="7" spans="1:14" s="1" customFormat="1" x14ac:dyDescent="0.2">
      <c r="A7" s="2" t="s">
        <v>1329</v>
      </c>
      <c r="B7" s="2">
        <v>2018</v>
      </c>
      <c r="C7" s="2">
        <v>8</v>
      </c>
      <c r="D7" s="2">
        <v>2</v>
      </c>
      <c r="E7" s="2">
        <v>9.35</v>
      </c>
      <c r="F7" s="2">
        <v>1.3</v>
      </c>
      <c r="G7" s="2">
        <v>-4</v>
      </c>
      <c r="H7" s="2">
        <f>68.6-66.7</f>
        <v>1.8999999999999915</v>
      </c>
      <c r="I7" s="2">
        <v>9.23</v>
      </c>
      <c r="J7" s="2">
        <v>12</v>
      </c>
      <c r="K7" s="2">
        <v>1</v>
      </c>
      <c r="L7" s="2">
        <v>0.72</v>
      </c>
      <c r="M7">
        <v>0.82830980618399996</v>
      </c>
      <c r="N7" s="2">
        <v>4</v>
      </c>
    </row>
    <row r="8" spans="1:14" s="1" customFormat="1" x14ac:dyDescent="0.2">
      <c r="A8" s="2" t="s">
        <v>1330</v>
      </c>
      <c r="B8" s="2">
        <v>2018</v>
      </c>
      <c r="C8" s="2">
        <v>8</v>
      </c>
      <c r="D8" s="2">
        <v>1</v>
      </c>
      <c r="E8" s="2">
        <v>-5.56</v>
      </c>
      <c r="F8" s="2">
        <v>-1.9</v>
      </c>
      <c r="G8" s="2">
        <v>-3.5</v>
      </c>
      <c r="H8" s="2">
        <v>-1</v>
      </c>
      <c r="I8" s="2">
        <f>-0.9</f>
        <v>-0.9</v>
      </c>
      <c r="J8" s="2">
        <v>4</v>
      </c>
      <c r="K8" s="2">
        <v>1</v>
      </c>
      <c r="L8" s="2">
        <v>0.36</v>
      </c>
      <c r="M8">
        <v>0.45712014104799997</v>
      </c>
      <c r="N8" s="2">
        <v>3.5</v>
      </c>
    </row>
    <row r="9" spans="1:14" x14ac:dyDescent="0.2">
      <c r="A9" t="s">
        <v>1314</v>
      </c>
      <c r="B9">
        <v>2018</v>
      </c>
      <c r="C9">
        <v>16</v>
      </c>
      <c r="D9">
        <v>4</v>
      </c>
      <c r="E9" s="3">
        <v>5.8</v>
      </c>
      <c r="F9" s="3">
        <v>6</v>
      </c>
      <c r="G9" s="3">
        <v>-0.1</v>
      </c>
      <c r="H9" s="3">
        <v>3.3</v>
      </c>
      <c r="I9" s="3">
        <v>11.22</v>
      </c>
      <c r="J9">
        <v>-3</v>
      </c>
      <c r="K9">
        <v>0</v>
      </c>
      <c r="L9">
        <v>0.63600000000000001</v>
      </c>
      <c r="M9">
        <v>0.71109908499999996</v>
      </c>
      <c r="N9" s="3">
        <v>0.1</v>
      </c>
    </row>
    <row r="10" spans="1:14" x14ac:dyDescent="0.2">
      <c r="A10" t="s">
        <v>1315</v>
      </c>
      <c r="B10">
        <v>2018</v>
      </c>
      <c r="C10">
        <v>16</v>
      </c>
      <c r="D10">
        <v>4</v>
      </c>
      <c r="E10" s="3">
        <v>2.97</v>
      </c>
      <c r="F10" s="3">
        <v>9.1</v>
      </c>
      <c r="G10" s="3">
        <v>-6</v>
      </c>
      <c r="H10" s="3">
        <v>4.4000000000000004</v>
      </c>
      <c r="I10" s="3">
        <v>9.52</v>
      </c>
      <c r="J10">
        <v>-1</v>
      </c>
      <c r="K10">
        <v>0</v>
      </c>
      <c r="L10">
        <v>0.56899999999999995</v>
      </c>
      <c r="M10">
        <v>0.50623910000000005</v>
      </c>
      <c r="N10" s="3">
        <v>6</v>
      </c>
    </row>
    <row r="11" spans="1:14" x14ac:dyDescent="0.2">
      <c r="A11" t="s">
        <v>1320</v>
      </c>
      <c r="B11">
        <v>2018</v>
      </c>
      <c r="C11">
        <v>16</v>
      </c>
      <c r="D11">
        <v>5</v>
      </c>
      <c r="E11" s="3">
        <v>7.67</v>
      </c>
      <c r="F11" s="3">
        <v>4.3</v>
      </c>
      <c r="G11" s="3">
        <v>3.3</v>
      </c>
      <c r="H11" s="3">
        <v>-2</v>
      </c>
      <c r="I11" s="3">
        <v>9.89</v>
      </c>
      <c r="J11">
        <v>-15</v>
      </c>
      <c r="K11">
        <v>0</v>
      </c>
      <c r="L11">
        <v>0.68899999999999995</v>
      </c>
      <c r="M11">
        <v>0.72003754099999995</v>
      </c>
      <c r="N11" s="3">
        <v>-3.3</v>
      </c>
    </row>
    <row r="12" spans="1:14" x14ac:dyDescent="0.2">
      <c r="A12" t="s">
        <v>1316</v>
      </c>
      <c r="B12">
        <v>2018</v>
      </c>
      <c r="C12">
        <v>16</v>
      </c>
      <c r="D12">
        <v>4</v>
      </c>
      <c r="E12" s="3">
        <v>5.26</v>
      </c>
      <c r="F12" s="3">
        <v>3.4</v>
      </c>
      <c r="G12" s="3">
        <v>1.8</v>
      </c>
      <c r="H12" s="3">
        <v>-4.8</v>
      </c>
      <c r="I12" s="3">
        <v>-9.89</v>
      </c>
      <c r="J12">
        <v>27</v>
      </c>
      <c r="K12">
        <v>1</v>
      </c>
      <c r="L12">
        <v>0.623</v>
      </c>
      <c r="M12">
        <v>0.52037812699999997</v>
      </c>
      <c r="N12" s="3">
        <v>-1.8</v>
      </c>
    </row>
    <row r="13" spans="1:14" x14ac:dyDescent="0.2">
      <c r="A13" t="s">
        <v>1321</v>
      </c>
      <c r="B13">
        <v>2018</v>
      </c>
      <c r="C13">
        <v>16</v>
      </c>
      <c r="D13">
        <v>4</v>
      </c>
      <c r="E13" s="3">
        <v>9.5500000000000007</v>
      </c>
      <c r="F13" s="3">
        <v>7.8</v>
      </c>
      <c r="G13" s="3">
        <v>1.7</v>
      </c>
      <c r="H13" s="3">
        <v>-0.6</v>
      </c>
      <c r="I13" s="3">
        <v>8.52</v>
      </c>
      <c r="J13">
        <v>12</v>
      </c>
      <c r="K13">
        <v>1</v>
      </c>
      <c r="L13">
        <v>0.72499999999999998</v>
      </c>
      <c r="M13">
        <v>0.69642070700000003</v>
      </c>
      <c r="N13" s="3">
        <v>-1.7</v>
      </c>
    </row>
    <row r="14" spans="1:14" x14ac:dyDescent="0.2">
      <c r="A14" t="s">
        <v>1317</v>
      </c>
      <c r="B14">
        <v>2018</v>
      </c>
      <c r="C14">
        <v>16</v>
      </c>
      <c r="D14">
        <v>1</v>
      </c>
      <c r="E14" s="3">
        <v>4.82</v>
      </c>
      <c r="F14" s="3">
        <v>9.6</v>
      </c>
      <c r="G14" s="3">
        <v>-4.5999999999999996</v>
      </c>
      <c r="H14" s="3">
        <v>0.3</v>
      </c>
      <c r="I14" s="3">
        <v>6.02</v>
      </c>
      <c r="J14">
        <v>-13</v>
      </c>
      <c r="K14">
        <v>0</v>
      </c>
      <c r="L14">
        <v>0.61099999999999999</v>
      </c>
      <c r="M14">
        <v>0.624368268</v>
      </c>
      <c r="N14" s="3">
        <v>4.5999999999999996</v>
      </c>
    </row>
    <row r="15" spans="1:14" x14ac:dyDescent="0.2">
      <c r="A15" t="s">
        <v>1318</v>
      </c>
      <c r="B15">
        <v>2018</v>
      </c>
      <c r="C15">
        <v>16</v>
      </c>
      <c r="D15">
        <v>4</v>
      </c>
      <c r="E15" s="3">
        <v>1.74</v>
      </c>
      <c r="F15" s="3">
        <v>6.5</v>
      </c>
      <c r="G15" s="3">
        <v>-4.9000000000000004</v>
      </c>
      <c r="H15" s="3">
        <v>2.6</v>
      </c>
      <c r="I15" s="3">
        <v>5.39</v>
      </c>
      <c r="J15">
        <v>4</v>
      </c>
      <c r="K15">
        <v>1</v>
      </c>
      <c r="L15">
        <v>0.53900000000000003</v>
      </c>
      <c r="M15">
        <v>0.727993059</v>
      </c>
      <c r="N15" s="3">
        <v>4.9000000000000004</v>
      </c>
    </row>
    <row r="16" spans="1:14" x14ac:dyDescent="0.2">
      <c r="A16" t="s">
        <v>1319</v>
      </c>
      <c r="B16">
        <v>2018</v>
      </c>
      <c r="C16">
        <v>16</v>
      </c>
      <c r="D16">
        <v>9</v>
      </c>
      <c r="E16" s="3">
        <v>14.97</v>
      </c>
      <c r="F16" s="3">
        <v>16.100000000000001</v>
      </c>
      <c r="G16" s="3">
        <v>-1.1000000000000001</v>
      </c>
      <c r="H16" s="3">
        <v>6.8</v>
      </c>
      <c r="I16" s="3">
        <v>4.3499999999999996</v>
      </c>
      <c r="J16">
        <v>4</v>
      </c>
      <c r="K16">
        <v>1</v>
      </c>
      <c r="L16">
        <v>0.81100000000000005</v>
      </c>
      <c r="M16">
        <v>0.84563100899999999</v>
      </c>
      <c r="N16" s="3">
        <v>1.1000000000000001</v>
      </c>
    </row>
    <row r="17" spans="1:14" s="1" customFormat="1" x14ac:dyDescent="0.2">
      <c r="A17" t="s">
        <v>1298</v>
      </c>
      <c r="B17">
        <v>2018</v>
      </c>
      <c r="C17">
        <v>32</v>
      </c>
      <c r="D17">
        <v>7</v>
      </c>
      <c r="E17" s="3">
        <v>14.99</v>
      </c>
      <c r="F17" s="3">
        <v>7.6</v>
      </c>
      <c r="G17" s="3">
        <v>7.5</v>
      </c>
      <c r="H17" s="3">
        <v>-2.8</v>
      </c>
      <c r="I17" s="3">
        <v>-2.63</v>
      </c>
      <c r="J17">
        <v>7</v>
      </c>
      <c r="K17">
        <v>1</v>
      </c>
      <c r="L17">
        <v>0.81</v>
      </c>
      <c r="M17">
        <v>0.72449027600000004</v>
      </c>
      <c r="N17" s="3">
        <v>-7.5</v>
      </c>
    </row>
    <row r="18" spans="1:14" s="1" customFormat="1" x14ac:dyDescent="0.2">
      <c r="A18" t="s">
        <v>1299</v>
      </c>
      <c r="B18">
        <v>2018</v>
      </c>
      <c r="C18">
        <v>32</v>
      </c>
      <c r="D18">
        <v>8</v>
      </c>
      <c r="E18" s="3">
        <v>8.17</v>
      </c>
      <c r="F18" s="3">
        <v>1.1000000000000001</v>
      </c>
      <c r="G18" s="3">
        <v>7.1</v>
      </c>
      <c r="H18" s="3">
        <v>-3.9</v>
      </c>
      <c r="I18" s="3">
        <v>0.97</v>
      </c>
      <c r="J18">
        <v>20</v>
      </c>
      <c r="K18">
        <v>1</v>
      </c>
      <c r="L18">
        <v>0.71</v>
      </c>
      <c r="M18">
        <v>0.71494871599999998</v>
      </c>
      <c r="N18" s="3">
        <v>-7.1</v>
      </c>
    </row>
    <row r="19" spans="1:14" s="1" customFormat="1" x14ac:dyDescent="0.2">
      <c r="A19" t="s">
        <v>1300</v>
      </c>
      <c r="B19">
        <v>2018</v>
      </c>
      <c r="C19">
        <v>32</v>
      </c>
      <c r="D19">
        <v>8</v>
      </c>
      <c r="E19" s="3">
        <v>7.37</v>
      </c>
      <c r="F19" s="3">
        <v>3.6</v>
      </c>
      <c r="G19" s="3">
        <v>3.9</v>
      </c>
      <c r="H19" s="3">
        <v>0.9</v>
      </c>
      <c r="I19" s="3">
        <v>13.19</v>
      </c>
      <c r="J19">
        <v>-1</v>
      </c>
      <c r="K19">
        <v>0</v>
      </c>
      <c r="L19">
        <v>0.66</v>
      </c>
      <c r="M19">
        <v>0.72547545099999999</v>
      </c>
      <c r="N19" s="3">
        <v>-3.9</v>
      </c>
    </row>
    <row r="20" spans="1:14" s="1" customFormat="1" x14ac:dyDescent="0.2">
      <c r="A20" t="s">
        <v>1301</v>
      </c>
      <c r="B20">
        <v>2018</v>
      </c>
      <c r="C20">
        <v>32</v>
      </c>
      <c r="D20">
        <v>5</v>
      </c>
      <c r="E20" s="3">
        <v>9</v>
      </c>
      <c r="F20" s="3">
        <v>-6.7</v>
      </c>
      <c r="G20" s="3">
        <v>15.7</v>
      </c>
      <c r="H20" s="3">
        <v>-5</v>
      </c>
      <c r="I20" s="3">
        <v>-8.34</v>
      </c>
      <c r="J20">
        <v>-2</v>
      </c>
      <c r="K20">
        <v>0</v>
      </c>
      <c r="L20">
        <v>0.7</v>
      </c>
      <c r="M20">
        <v>0.86594498200000003</v>
      </c>
      <c r="N20" s="3">
        <v>-15.7</v>
      </c>
    </row>
    <row r="21" spans="1:14" s="1" customFormat="1" x14ac:dyDescent="0.2">
      <c r="A21" t="s">
        <v>1302</v>
      </c>
      <c r="B21">
        <v>2018</v>
      </c>
      <c r="C21">
        <v>32</v>
      </c>
      <c r="D21">
        <v>8</v>
      </c>
      <c r="E21" s="3">
        <v>5.39</v>
      </c>
      <c r="F21" s="3">
        <v>5.6</v>
      </c>
      <c r="G21" s="3">
        <v>0</v>
      </c>
      <c r="H21" s="3">
        <v>-1</v>
      </c>
      <c r="I21" s="3">
        <v>8.81</v>
      </c>
      <c r="J21">
        <v>-5</v>
      </c>
      <c r="K21">
        <v>0</v>
      </c>
      <c r="L21">
        <v>0.64</v>
      </c>
      <c r="M21">
        <v>0.70645714299999995</v>
      </c>
      <c r="N21" s="3">
        <v>0</v>
      </c>
    </row>
    <row r="22" spans="1:14" s="1" customFormat="1" x14ac:dyDescent="0.2">
      <c r="A22" t="s">
        <v>1303</v>
      </c>
      <c r="B22">
        <v>2018</v>
      </c>
      <c r="C22">
        <v>32</v>
      </c>
      <c r="D22">
        <v>1</v>
      </c>
      <c r="E22" s="3">
        <v>3.3</v>
      </c>
      <c r="F22" s="3">
        <v>3.3</v>
      </c>
      <c r="G22" s="3">
        <v>0.1</v>
      </c>
      <c r="H22" s="3">
        <v>2.5</v>
      </c>
      <c r="I22" s="3">
        <v>2.83</v>
      </c>
      <c r="J22">
        <v>6</v>
      </c>
      <c r="K22">
        <v>1</v>
      </c>
      <c r="L22">
        <v>0.57999999999999996</v>
      </c>
      <c r="M22">
        <v>0.72664259799999997</v>
      </c>
      <c r="N22" s="3">
        <v>-0.1</v>
      </c>
    </row>
    <row r="23" spans="1:14" s="1" customFormat="1" x14ac:dyDescent="0.2">
      <c r="A23" t="s">
        <v>1304</v>
      </c>
      <c r="B23">
        <v>2018</v>
      </c>
      <c r="C23">
        <v>32</v>
      </c>
      <c r="D23">
        <v>3</v>
      </c>
      <c r="E23" s="3">
        <v>3.13</v>
      </c>
      <c r="F23" s="3">
        <v>0.1</v>
      </c>
      <c r="G23" s="3">
        <v>3.1</v>
      </c>
      <c r="H23" s="3">
        <v>-1.4</v>
      </c>
      <c r="I23" s="3">
        <v>-1.89</v>
      </c>
      <c r="J23">
        <v>1</v>
      </c>
      <c r="K23">
        <v>1</v>
      </c>
      <c r="L23">
        <v>0.56999999999999995</v>
      </c>
      <c r="M23">
        <v>0.58397178100000002</v>
      </c>
      <c r="N23" s="3">
        <v>-3.1</v>
      </c>
    </row>
    <row r="24" spans="1:14" s="1" customFormat="1" x14ac:dyDescent="0.2">
      <c r="A24" t="s">
        <v>1305</v>
      </c>
      <c r="B24">
        <v>2018</v>
      </c>
      <c r="C24">
        <v>32</v>
      </c>
      <c r="D24">
        <v>5</v>
      </c>
      <c r="E24" s="3">
        <v>7.77</v>
      </c>
      <c r="F24" s="3">
        <v>10.1</v>
      </c>
      <c r="G24" s="3">
        <v>-2.2000000000000002</v>
      </c>
      <c r="H24" s="3">
        <v>1.9</v>
      </c>
      <c r="I24" s="3">
        <v>2.7</v>
      </c>
      <c r="J24">
        <v>-21</v>
      </c>
      <c r="K24">
        <v>0</v>
      </c>
      <c r="L24">
        <v>0.69</v>
      </c>
      <c r="M24">
        <v>0.81115354900000003</v>
      </c>
      <c r="N24" s="3">
        <v>2.2000000000000002</v>
      </c>
    </row>
    <row r="25" spans="1:14" s="1" customFormat="1" x14ac:dyDescent="0.2">
      <c r="A25" t="s">
        <v>1310</v>
      </c>
      <c r="B25">
        <v>2018</v>
      </c>
      <c r="C25">
        <v>32</v>
      </c>
      <c r="D25">
        <v>8</v>
      </c>
      <c r="E25" s="3">
        <v>17.670000000000002</v>
      </c>
      <c r="F25" s="3">
        <v>18.399999999999999</v>
      </c>
      <c r="G25" s="3">
        <v>-0.7</v>
      </c>
      <c r="H25" s="3">
        <v>-0.4</v>
      </c>
      <c r="I25" s="3">
        <v>1.0900000000000001</v>
      </c>
      <c r="J25">
        <v>23</v>
      </c>
      <c r="K25">
        <v>1</v>
      </c>
      <c r="L25">
        <v>0.87</v>
      </c>
      <c r="M25">
        <v>0.90367468500000003</v>
      </c>
      <c r="N25" s="3">
        <v>0.7</v>
      </c>
    </row>
    <row r="26" spans="1:14" s="1" customFormat="1" x14ac:dyDescent="0.2">
      <c r="A26" t="s">
        <v>1307</v>
      </c>
      <c r="B26">
        <v>2018</v>
      </c>
      <c r="C26">
        <v>32</v>
      </c>
      <c r="D26">
        <v>8</v>
      </c>
      <c r="E26" s="3">
        <v>15.41</v>
      </c>
      <c r="F26" s="3">
        <v>9.9</v>
      </c>
      <c r="G26" s="3">
        <v>5.6</v>
      </c>
      <c r="H26" s="3">
        <v>-5.8</v>
      </c>
      <c r="I26" s="3">
        <v>2.59</v>
      </c>
      <c r="J26">
        <v>23</v>
      </c>
      <c r="K26">
        <v>1</v>
      </c>
      <c r="L26">
        <v>0.86</v>
      </c>
      <c r="M26">
        <v>0.87474298100000003</v>
      </c>
      <c r="N26" s="3">
        <v>-5.6</v>
      </c>
    </row>
    <row r="27" spans="1:14" s="1" customFormat="1" x14ac:dyDescent="0.2">
      <c r="A27" t="s">
        <v>1308</v>
      </c>
      <c r="B27">
        <v>2018</v>
      </c>
      <c r="C27">
        <v>32</v>
      </c>
      <c r="D27">
        <v>3</v>
      </c>
      <c r="E27" s="3">
        <v>2.86</v>
      </c>
      <c r="F27" s="3">
        <v>-1</v>
      </c>
      <c r="G27" s="3">
        <v>3.9</v>
      </c>
      <c r="H27" s="3">
        <v>-0.5</v>
      </c>
      <c r="I27" s="3">
        <v>-9.61</v>
      </c>
      <c r="J27">
        <v>3</v>
      </c>
      <c r="K27">
        <v>1</v>
      </c>
      <c r="L27">
        <v>0.56999999999999995</v>
      </c>
      <c r="M27">
        <v>0.55731883299999996</v>
      </c>
      <c r="N27" s="3">
        <v>-3.9</v>
      </c>
    </row>
    <row r="28" spans="1:14" s="1" customFormat="1" x14ac:dyDescent="0.2">
      <c r="A28" t="s">
        <v>1309</v>
      </c>
      <c r="B28">
        <v>2018</v>
      </c>
      <c r="C28">
        <v>32</v>
      </c>
      <c r="D28">
        <v>8</v>
      </c>
      <c r="E28" s="3">
        <v>8.27</v>
      </c>
      <c r="F28" s="3">
        <v>7.2</v>
      </c>
      <c r="G28" s="3">
        <v>1.1000000000000001</v>
      </c>
      <c r="H28" s="3">
        <v>-0.6</v>
      </c>
      <c r="I28" s="3">
        <v>0.64</v>
      </c>
      <c r="J28">
        <v>3</v>
      </c>
      <c r="K28">
        <v>1</v>
      </c>
      <c r="L28">
        <v>0.69</v>
      </c>
      <c r="M28">
        <v>0.65769767800000001</v>
      </c>
      <c r="N28" s="3">
        <v>-1.1000000000000001</v>
      </c>
    </row>
    <row r="29" spans="1:14" s="1" customFormat="1" x14ac:dyDescent="0.2">
      <c r="A29" t="s">
        <v>1306</v>
      </c>
      <c r="B29">
        <v>2018</v>
      </c>
      <c r="C29">
        <v>32</v>
      </c>
      <c r="D29">
        <v>7</v>
      </c>
      <c r="E29" s="3">
        <v>5.65</v>
      </c>
      <c r="F29" s="3">
        <v>3.9</v>
      </c>
      <c r="G29" s="3">
        <v>1.7</v>
      </c>
      <c r="H29" s="3">
        <v>-0.9</v>
      </c>
      <c r="I29" s="3">
        <v>3.29</v>
      </c>
      <c r="J29">
        <v>4</v>
      </c>
      <c r="K29">
        <v>1</v>
      </c>
      <c r="L29">
        <v>0.64</v>
      </c>
      <c r="M29">
        <v>0.77548233300000002</v>
      </c>
      <c r="N29" s="3">
        <v>-1.7</v>
      </c>
    </row>
    <row r="30" spans="1:14" s="1" customFormat="1" x14ac:dyDescent="0.2">
      <c r="A30" t="s">
        <v>1311</v>
      </c>
      <c r="B30">
        <v>2018</v>
      </c>
      <c r="C30">
        <v>32</v>
      </c>
      <c r="D30">
        <v>1</v>
      </c>
      <c r="E30" s="3">
        <v>7.0000000000000007E-2</v>
      </c>
      <c r="F30" s="3">
        <v>2.8</v>
      </c>
      <c r="G30" s="3">
        <v>-2.8</v>
      </c>
      <c r="H30" s="3">
        <v>6.6</v>
      </c>
      <c r="I30" s="3">
        <v>0.1</v>
      </c>
      <c r="J30">
        <v>-31</v>
      </c>
      <c r="K30">
        <v>0</v>
      </c>
      <c r="L30">
        <v>0.5</v>
      </c>
      <c r="M30">
        <v>0.47357071499999998</v>
      </c>
      <c r="N30" s="3">
        <v>2.8</v>
      </c>
    </row>
    <row r="31" spans="1:14" s="1" customFormat="1" x14ac:dyDescent="0.2">
      <c r="A31" t="s">
        <v>1312</v>
      </c>
      <c r="B31">
        <v>2018</v>
      </c>
      <c r="C31">
        <v>32</v>
      </c>
      <c r="D31">
        <v>8</v>
      </c>
      <c r="E31" s="3">
        <v>11.72</v>
      </c>
      <c r="F31" s="3">
        <v>13.2</v>
      </c>
      <c r="G31" s="3">
        <v>-1.3</v>
      </c>
      <c r="H31" s="3">
        <v>4</v>
      </c>
      <c r="I31" s="3">
        <v>-4.47</v>
      </c>
      <c r="J31">
        <v>-2</v>
      </c>
      <c r="K31">
        <v>0</v>
      </c>
      <c r="L31">
        <v>0.75</v>
      </c>
      <c r="M31">
        <v>0.83194182000000005</v>
      </c>
      <c r="N31" s="3">
        <v>1.3</v>
      </c>
    </row>
    <row r="32" spans="1:14" s="1" customFormat="1" x14ac:dyDescent="0.2">
      <c r="A32" t="s">
        <v>1313</v>
      </c>
      <c r="B32">
        <v>2018</v>
      </c>
      <c r="C32">
        <v>32</v>
      </c>
      <c r="D32">
        <v>5</v>
      </c>
      <c r="E32" s="3">
        <v>14.32</v>
      </c>
      <c r="F32" s="3">
        <v>10.9</v>
      </c>
      <c r="G32" s="3">
        <v>3.5</v>
      </c>
      <c r="H32" s="3">
        <v>1.5</v>
      </c>
      <c r="I32" s="3">
        <v>0.55000000000000004</v>
      </c>
      <c r="J32">
        <v>25</v>
      </c>
      <c r="K32">
        <v>1</v>
      </c>
      <c r="L32">
        <v>0.82</v>
      </c>
      <c r="M32">
        <v>0.84312587100000003</v>
      </c>
      <c r="N32" s="3">
        <v>-3.5</v>
      </c>
    </row>
    <row r="33" spans="1:14" x14ac:dyDescent="0.2">
      <c r="A33" t="s">
        <v>1260</v>
      </c>
      <c r="B33">
        <v>2018</v>
      </c>
      <c r="C33">
        <v>64</v>
      </c>
      <c r="D33">
        <v>15</v>
      </c>
      <c r="E33" s="3">
        <v>34.06</v>
      </c>
      <c r="F33" s="3">
        <v>13.4</v>
      </c>
      <c r="G33" s="3">
        <v>21</v>
      </c>
      <c r="H33" s="3">
        <v>-9</v>
      </c>
      <c r="I33" s="3">
        <v>3.62</v>
      </c>
      <c r="J33">
        <v>-20</v>
      </c>
      <c r="K33">
        <v>0</v>
      </c>
      <c r="L33">
        <v>0.96699999999999997</v>
      </c>
      <c r="M33">
        <v>0.97853948499999999</v>
      </c>
      <c r="N33" s="3">
        <v>-21</v>
      </c>
    </row>
    <row r="34" spans="1:14" x14ac:dyDescent="0.2">
      <c r="A34" t="s">
        <v>1287</v>
      </c>
      <c r="B34">
        <v>2018</v>
      </c>
      <c r="C34">
        <v>64</v>
      </c>
      <c r="D34">
        <v>15</v>
      </c>
      <c r="E34" s="3">
        <v>31.46</v>
      </c>
      <c r="F34" s="3">
        <v>24</v>
      </c>
      <c r="G34" s="3">
        <v>6.8</v>
      </c>
      <c r="H34" s="3">
        <v>5.3</v>
      </c>
      <c r="I34" s="3">
        <v>0.1</v>
      </c>
      <c r="J34">
        <v>26</v>
      </c>
      <c r="K34">
        <v>1</v>
      </c>
      <c r="L34">
        <v>0.96</v>
      </c>
      <c r="M34">
        <v>0.98326404700000003</v>
      </c>
      <c r="N34" s="3">
        <v>-6.8</v>
      </c>
    </row>
    <row r="35" spans="1:14" x14ac:dyDescent="0.2">
      <c r="A35" t="s">
        <v>1261</v>
      </c>
      <c r="B35">
        <v>2018</v>
      </c>
      <c r="C35">
        <v>64</v>
      </c>
      <c r="D35">
        <v>15</v>
      </c>
      <c r="E35" s="3">
        <v>19.54</v>
      </c>
      <c r="F35" s="3">
        <v>17.5</v>
      </c>
      <c r="G35" s="3">
        <v>2.2000000000000002</v>
      </c>
      <c r="H35" s="3">
        <v>-0.5</v>
      </c>
      <c r="I35" s="3">
        <v>6.48</v>
      </c>
      <c r="J35">
        <v>16</v>
      </c>
      <c r="K35">
        <v>1</v>
      </c>
      <c r="L35">
        <v>0.88800000000000001</v>
      </c>
      <c r="M35">
        <v>0.95413624500000005</v>
      </c>
      <c r="N35" s="3">
        <v>-2.2000000000000002</v>
      </c>
    </row>
    <row r="36" spans="1:14" x14ac:dyDescent="0.2">
      <c r="A36" t="s">
        <v>1288</v>
      </c>
      <c r="B36">
        <v>2018</v>
      </c>
      <c r="C36">
        <v>64</v>
      </c>
      <c r="D36">
        <v>15</v>
      </c>
      <c r="E36" s="3">
        <v>29.35</v>
      </c>
      <c r="F36" s="3">
        <v>16</v>
      </c>
      <c r="G36" s="3">
        <v>12.5</v>
      </c>
      <c r="H36" s="3">
        <v>-1.1000000000000001</v>
      </c>
      <c r="I36" s="3">
        <v>-15.38</v>
      </c>
      <c r="J36">
        <v>19</v>
      </c>
      <c r="K36">
        <v>1</v>
      </c>
      <c r="L36">
        <v>0.97</v>
      </c>
      <c r="M36">
        <v>0.97279697700000001</v>
      </c>
      <c r="N36" s="3">
        <v>-12.5</v>
      </c>
    </row>
    <row r="37" spans="1:14" x14ac:dyDescent="0.2">
      <c r="A37" t="s">
        <v>1264</v>
      </c>
      <c r="B37">
        <v>2018</v>
      </c>
      <c r="C37">
        <v>64</v>
      </c>
      <c r="D37">
        <v>13</v>
      </c>
      <c r="E37" s="3">
        <v>26.26</v>
      </c>
      <c r="F37" s="3">
        <v>12.4</v>
      </c>
      <c r="G37" s="3">
        <v>14</v>
      </c>
      <c r="H37" s="3">
        <v>-0.7</v>
      </c>
      <c r="I37" s="3">
        <v>2.35</v>
      </c>
      <c r="J37">
        <v>22</v>
      </c>
      <c r="K37">
        <v>1</v>
      </c>
      <c r="L37">
        <v>0.95899999999999996</v>
      </c>
      <c r="M37">
        <v>0.958061524</v>
      </c>
      <c r="N37" s="3">
        <v>-14</v>
      </c>
    </row>
    <row r="38" spans="1:14" x14ac:dyDescent="0.2">
      <c r="A38" t="s">
        <v>1291</v>
      </c>
      <c r="B38">
        <v>2018</v>
      </c>
      <c r="C38">
        <v>64</v>
      </c>
      <c r="D38">
        <v>13</v>
      </c>
      <c r="E38" s="3">
        <v>24.67</v>
      </c>
      <c r="F38" s="3">
        <v>18</v>
      </c>
      <c r="G38" s="3">
        <v>6.4</v>
      </c>
      <c r="H38" s="3">
        <v>-3.9</v>
      </c>
      <c r="I38" s="3">
        <v>1.92</v>
      </c>
      <c r="J38">
        <v>18</v>
      </c>
      <c r="K38">
        <v>1</v>
      </c>
      <c r="L38">
        <v>0.95899999999999996</v>
      </c>
      <c r="M38">
        <v>0.964770083</v>
      </c>
      <c r="N38" s="3">
        <v>-6.4</v>
      </c>
    </row>
    <row r="39" spans="1:14" x14ac:dyDescent="0.2">
      <c r="A39" t="s">
        <v>1263</v>
      </c>
      <c r="B39">
        <v>2018</v>
      </c>
      <c r="C39">
        <v>64</v>
      </c>
      <c r="D39">
        <v>13</v>
      </c>
      <c r="E39" s="3">
        <v>25.35</v>
      </c>
      <c r="F39" s="3">
        <v>18.5</v>
      </c>
      <c r="G39" s="3">
        <v>7</v>
      </c>
      <c r="H39" s="3">
        <v>-7.6</v>
      </c>
      <c r="I39" s="3">
        <v>-2.56</v>
      </c>
      <c r="J39">
        <v>26</v>
      </c>
      <c r="K39">
        <v>1</v>
      </c>
      <c r="L39">
        <v>0.94299999999999995</v>
      </c>
      <c r="M39">
        <v>0.97751052800000005</v>
      </c>
      <c r="N39" s="3">
        <v>-7</v>
      </c>
    </row>
    <row r="40" spans="1:14" x14ac:dyDescent="0.2">
      <c r="A40" t="s">
        <v>1262</v>
      </c>
      <c r="B40">
        <v>2018</v>
      </c>
      <c r="C40">
        <v>64</v>
      </c>
      <c r="D40">
        <v>13</v>
      </c>
      <c r="E40" s="3">
        <v>19.79</v>
      </c>
      <c r="F40" s="3">
        <v>4.2</v>
      </c>
      <c r="G40" s="3">
        <v>15.7</v>
      </c>
      <c r="H40" s="3">
        <v>-2.2000000000000002</v>
      </c>
      <c r="I40" s="3">
        <v>-1.26</v>
      </c>
      <c r="J40">
        <v>15</v>
      </c>
      <c r="K40">
        <v>1</v>
      </c>
      <c r="L40">
        <v>0.873</v>
      </c>
      <c r="M40">
        <v>0.93263227500000001</v>
      </c>
      <c r="N40" s="3">
        <v>-15.7</v>
      </c>
    </row>
    <row r="41" spans="1:14" x14ac:dyDescent="0.2">
      <c r="A41" t="s">
        <v>1265</v>
      </c>
      <c r="B41">
        <v>2018</v>
      </c>
      <c r="C41">
        <v>64</v>
      </c>
      <c r="D41">
        <v>11</v>
      </c>
      <c r="E41" s="3">
        <v>19.329999999999998</v>
      </c>
      <c r="F41" s="3">
        <v>13.7</v>
      </c>
      <c r="G41" s="3">
        <v>5.6</v>
      </c>
      <c r="H41" s="3">
        <v>-2</v>
      </c>
      <c r="I41" s="3">
        <v>5.26</v>
      </c>
      <c r="J41">
        <v>26</v>
      </c>
      <c r="K41">
        <v>1</v>
      </c>
      <c r="L41">
        <v>0.88100000000000001</v>
      </c>
      <c r="M41">
        <v>0.90704487300000003</v>
      </c>
      <c r="N41" s="3">
        <v>-5.6</v>
      </c>
    </row>
    <row r="42" spans="1:14" x14ac:dyDescent="0.2">
      <c r="A42" t="s">
        <v>1267</v>
      </c>
      <c r="B42">
        <v>2018</v>
      </c>
      <c r="C42">
        <v>64</v>
      </c>
      <c r="D42">
        <v>11</v>
      </c>
      <c r="E42" s="3">
        <v>16.38</v>
      </c>
      <c r="F42" s="3">
        <v>9</v>
      </c>
      <c r="G42" s="3">
        <v>7.4</v>
      </c>
      <c r="H42" s="3">
        <v>-4.5999999999999996</v>
      </c>
      <c r="I42" s="3">
        <v>-3.07</v>
      </c>
      <c r="J42">
        <v>10</v>
      </c>
      <c r="K42">
        <v>1</v>
      </c>
      <c r="L42">
        <v>0.85399999999999998</v>
      </c>
      <c r="M42">
        <v>0.89356743400000005</v>
      </c>
      <c r="N42" s="3">
        <v>-7.4</v>
      </c>
    </row>
    <row r="43" spans="1:14" x14ac:dyDescent="0.2">
      <c r="A43" t="s">
        <v>1268</v>
      </c>
      <c r="B43">
        <v>2018</v>
      </c>
      <c r="C43">
        <v>64</v>
      </c>
      <c r="D43">
        <v>11</v>
      </c>
      <c r="E43" s="3">
        <v>19.54</v>
      </c>
      <c r="F43" s="3">
        <v>10.9</v>
      </c>
      <c r="G43" s="3">
        <v>8.6999999999999993</v>
      </c>
      <c r="H43" s="3">
        <v>-4.2</v>
      </c>
      <c r="I43" s="3">
        <v>-10.85</v>
      </c>
      <c r="J43">
        <v>4</v>
      </c>
      <c r="K43">
        <v>1</v>
      </c>
      <c r="L43">
        <v>0.89400000000000002</v>
      </c>
      <c r="M43">
        <v>0.92275700000000005</v>
      </c>
      <c r="N43" s="3">
        <v>-8.6999999999999993</v>
      </c>
    </row>
    <row r="44" spans="1:14" x14ac:dyDescent="0.2">
      <c r="A44" t="s">
        <v>1266</v>
      </c>
      <c r="B44">
        <v>2018</v>
      </c>
      <c r="C44">
        <v>64</v>
      </c>
      <c r="D44">
        <v>11</v>
      </c>
      <c r="E44" s="3">
        <v>12.36</v>
      </c>
      <c r="F44" s="3">
        <v>5.8</v>
      </c>
      <c r="G44" s="3">
        <v>6.7</v>
      </c>
      <c r="H44" s="3">
        <v>-3.6</v>
      </c>
      <c r="I44" s="3">
        <v>-7.12</v>
      </c>
      <c r="J44">
        <v>14</v>
      </c>
      <c r="K44">
        <v>1</v>
      </c>
      <c r="L44">
        <v>0.76500000000000001</v>
      </c>
      <c r="M44">
        <v>0.89313907400000003</v>
      </c>
      <c r="N44" s="3">
        <v>-6.7</v>
      </c>
    </row>
    <row r="45" spans="1:14" x14ac:dyDescent="0.2">
      <c r="A45" t="s">
        <v>1271</v>
      </c>
      <c r="B45">
        <v>2018</v>
      </c>
      <c r="C45">
        <v>64</v>
      </c>
      <c r="D45">
        <v>9</v>
      </c>
      <c r="E45" s="3">
        <v>14.69</v>
      </c>
      <c r="F45" s="3">
        <v>12.4</v>
      </c>
      <c r="G45" s="3">
        <v>1.7</v>
      </c>
      <c r="H45" s="3">
        <v>-6.2</v>
      </c>
      <c r="I45" s="3">
        <v>8.8800000000000008</v>
      </c>
      <c r="J45">
        <v>-6</v>
      </c>
      <c r="K45">
        <v>0</v>
      </c>
      <c r="L45">
        <v>0.84099999999999997</v>
      </c>
      <c r="M45">
        <v>0.90907941199999998</v>
      </c>
      <c r="N45" s="3">
        <v>-1.7</v>
      </c>
    </row>
    <row r="46" spans="1:14" x14ac:dyDescent="0.2">
      <c r="A46" t="s">
        <v>1270</v>
      </c>
      <c r="B46">
        <v>2018</v>
      </c>
      <c r="C46">
        <v>64</v>
      </c>
      <c r="D46">
        <v>9</v>
      </c>
      <c r="E46" s="3">
        <v>15.68</v>
      </c>
      <c r="F46" s="3">
        <v>14</v>
      </c>
      <c r="G46" s="3">
        <v>1.4</v>
      </c>
      <c r="H46" s="3">
        <v>3.9</v>
      </c>
      <c r="I46" s="3">
        <v>6.47</v>
      </c>
      <c r="J46">
        <v>4</v>
      </c>
      <c r="K46">
        <v>1</v>
      </c>
      <c r="L46">
        <v>0.82599999999999996</v>
      </c>
      <c r="M46">
        <v>0.91700899899999999</v>
      </c>
      <c r="N46" s="3">
        <v>-1.4</v>
      </c>
    </row>
    <row r="47" spans="1:14" x14ac:dyDescent="0.2">
      <c r="A47" t="s">
        <v>1272</v>
      </c>
      <c r="B47">
        <v>2018</v>
      </c>
      <c r="C47">
        <v>64</v>
      </c>
      <c r="D47">
        <v>9</v>
      </c>
      <c r="E47" s="3">
        <v>15.9</v>
      </c>
      <c r="F47" s="3">
        <v>8.4</v>
      </c>
      <c r="G47" s="3">
        <v>7.8</v>
      </c>
      <c r="H47" s="3">
        <v>7.6</v>
      </c>
      <c r="I47" s="3">
        <v>5.71</v>
      </c>
      <c r="J47">
        <v>4</v>
      </c>
      <c r="K47">
        <v>1</v>
      </c>
      <c r="L47">
        <v>0.84099999999999997</v>
      </c>
      <c r="M47">
        <v>0.79816103599999999</v>
      </c>
      <c r="N47" s="3">
        <v>-7.8</v>
      </c>
    </row>
    <row r="48" spans="1:14" x14ac:dyDescent="0.2">
      <c r="A48" t="s">
        <v>1269</v>
      </c>
      <c r="B48">
        <v>2018</v>
      </c>
      <c r="C48">
        <v>64</v>
      </c>
      <c r="D48">
        <v>9</v>
      </c>
      <c r="E48" s="3">
        <v>8.8800000000000008</v>
      </c>
      <c r="F48" s="3">
        <v>4.7</v>
      </c>
      <c r="G48" s="3">
        <v>4</v>
      </c>
      <c r="H48" s="3">
        <v>-5.5</v>
      </c>
      <c r="I48" s="3">
        <v>-1.26</v>
      </c>
      <c r="J48">
        <v>-21</v>
      </c>
      <c r="K48">
        <v>0</v>
      </c>
      <c r="L48">
        <v>0.71799999999999997</v>
      </c>
      <c r="M48">
        <v>0.84821093800000003</v>
      </c>
      <c r="N48" s="3">
        <v>-4</v>
      </c>
    </row>
    <row r="49" spans="1:14" x14ac:dyDescent="0.2">
      <c r="A49" t="s">
        <v>1274</v>
      </c>
      <c r="B49">
        <v>2018</v>
      </c>
      <c r="C49">
        <v>64</v>
      </c>
      <c r="D49">
        <v>7</v>
      </c>
      <c r="E49" s="3">
        <v>10.52</v>
      </c>
      <c r="F49" s="3">
        <v>1.8</v>
      </c>
      <c r="G49" s="3">
        <v>9.1</v>
      </c>
      <c r="H49" s="3">
        <v>-3.8</v>
      </c>
      <c r="I49" s="3">
        <v>-3.5</v>
      </c>
      <c r="J49">
        <v>8</v>
      </c>
      <c r="K49">
        <v>1</v>
      </c>
      <c r="L49">
        <v>0.74399999999999999</v>
      </c>
      <c r="M49">
        <v>0.76570086699999995</v>
      </c>
      <c r="N49" s="3">
        <v>-9.1</v>
      </c>
    </row>
    <row r="50" spans="1:14" x14ac:dyDescent="0.2">
      <c r="A50" t="s">
        <v>1275</v>
      </c>
      <c r="B50">
        <v>2018</v>
      </c>
      <c r="C50">
        <v>64</v>
      </c>
      <c r="D50">
        <v>7</v>
      </c>
      <c r="E50" s="3">
        <v>9.07</v>
      </c>
      <c r="F50" s="3">
        <v>5.9</v>
      </c>
      <c r="G50" s="3">
        <v>2.9</v>
      </c>
      <c r="H50" s="3">
        <v>1.8</v>
      </c>
      <c r="I50" s="3">
        <v>-3.48</v>
      </c>
      <c r="J50">
        <v>17</v>
      </c>
      <c r="K50">
        <v>1</v>
      </c>
      <c r="L50">
        <v>0.71399999999999997</v>
      </c>
      <c r="M50">
        <v>0.83594833999999996</v>
      </c>
      <c r="N50" s="3">
        <v>-2.9</v>
      </c>
    </row>
    <row r="51" spans="1:14" x14ac:dyDescent="0.2">
      <c r="A51" t="s">
        <v>1273</v>
      </c>
      <c r="B51">
        <v>2018</v>
      </c>
      <c r="C51">
        <v>64</v>
      </c>
      <c r="D51">
        <v>7</v>
      </c>
      <c r="E51" s="3">
        <v>5.5</v>
      </c>
      <c r="F51" s="3">
        <v>-1</v>
      </c>
      <c r="G51" s="3">
        <v>6.5</v>
      </c>
      <c r="H51" s="3">
        <v>4.4000000000000004</v>
      </c>
      <c r="I51" s="3">
        <v>3.34</v>
      </c>
      <c r="J51">
        <v>5</v>
      </c>
      <c r="K51">
        <v>1</v>
      </c>
      <c r="L51">
        <v>0.624</v>
      </c>
      <c r="M51">
        <v>0.75705864300000003</v>
      </c>
      <c r="N51" s="3">
        <v>-6.5</v>
      </c>
    </row>
    <row r="52" spans="1:14" x14ac:dyDescent="0.2">
      <c r="A52" t="s">
        <v>1276</v>
      </c>
      <c r="B52">
        <v>2018</v>
      </c>
      <c r="C52">
        <v>64</v>
      </c>
      <c r="D52">
        <v>7</v>
      </c>
      <c r="E52" s="3">
        <v>6.71</v>
      </c>
      <c r="F52" s="3">
        <v>5.5</v>
      </c>
      <c r="G52" s="3">
        <v>1.3</v>
      </c>
      <c r="H52" s="3">
        <v>-2.6</v>
      </c>
      <c r="I52" s="3">
        <v>-6.04</v>
      </c>
      <c r="J52">
        <v>11</v>
      </c>
      <c r="K52">
        <v>1</v>
      </c>
      <c r="L52">
        <v>0.65700000000000003</v>
      </c>
      <c r="M52">
        <v>0.61981005700000003</v>
      </c>
      <c r="N52" s="3">
        <v>-1.3</v>
      </c>
    </row>
    <row r="53" spans="1:14" x14ac:dyDescent="0.2">
      <c r="A53" t="s">
        <v>1290</v>
      </c>
      <c r="B53">
        <v>2018</v>
      </c>
      <c r="C53">
        <v>64</v>
      </c>
      <c r="D53">
        <v>5</v>
      </c>
      <c r="E53" s="3">
        <v>7.51</v>
      </c>
      <c r="F53" s="3">
        <v>3.4</v>
      </c>
      <c r="G53" s="3">
        <v>3.7</v>
      </c>
      <c r="H53" s="3">
        <v>-2.4</v>
      </c>
      <c r="I53" s="3">
        <v>3.06</v>
      </c>
      <c r="J53">
        <v>15</v>
      </c>
      <c r="K53">
        <v>1</v>
      </c>
      <c r="L53">
        <v>0.67</v>
      </c>
      <c r="M53">
        <v>0.72169397899999999</v>
      </c>
      <c r="N53" s="3">
        <v>-3.7</v>
      </c>
    </row>
    <row r="54" spans="1:14" x14ac:dyDescent="0.2">
      <c r="A54" t="s">
        <v>1289</v>
      </c>
      <c r="B54">
        <v>2018</v>
      </c>
      <c r="C54">
        <v>64</v>
      </c>
      <c r="D54">
        <v>5</v>
      </c>
      <c r="E54" s="3">
        <v>5.33</v>
      </c>
      <c r="F54" s="3">
        <v>13.2</v>
      </c>
      <c r="G54" s="3">
        <v>-8.1</v>
      </c>
      <c r="H54" s="3">
        <v>5.5</v>
      </c>
      <c r="I54" s="3">
        <v>-0.2</v>
      </c>
      <c r="J54">
        <v>-5</v>
      </c>
      <c r="K54">
        <v>0</v>
      </c>
      <c r="L54">
        <v>0.62</v>
      </c>
      <c r="M54">
        <v>0.55583529200000004</v>
      </c>
      <c r="N54" s="3">
        <v>8.1</v>
      </c>
    </row>
    <row r="55" spans="1:14" x14ac:dyDescent="0.2">
      <c r="A55" t="s">
        <v>1278</v>
      </c>
      <c r="B55">
        <v>2018</v>
      </c>
      <c r="C55">
        <v>64</v>
      </c>
      <c r="D55">
        <v>5</v>
      </c>
      <c r="E55" s="3">
        <v>6.39</v>
      </c>
      <c r="F55" s="3">
        <v>4.5999999999999996</v>
      </c>
      <c r="G55" s="3">
        <v>1.9</v>
      </c>
      <c r="H55" s="3">
        <v>-0.4</v>
      </c>
      <c r="I55" s="3">
        <v>-2.54</v>
      </c>
      <c r="J55">
        <v>2</v>
      </c>
      <c r="K55">
        <v>1</v>
      </c>
      <c r="L55">
        <v>0.65300000000000002</v>
      </c>
      <c r="M55">
        <v>0.71781194999999998</v>
      </c>
      <c r="N55" s="3">
        <v>-1.9</v>
      </c>
    </row>
    <row r="56" spans="1:14" x14ac:dyDescent="0.2">
      <c r="A56" t="s">
        <v>1277</v>
      </c>
      <c r="B56">
        <v>2018</v>
      </c>
      <c r="C56">
        <v>64</v>
      </c>
      <c r="D56">
        <v>5</v>
      </c>
      <c r="E56" s="3">
        <v>0.56999999999999995</v>
      </c>
      <c r="F56" s="3">
        <v>2</v>
      </c>
      <c r="G56" s="3">
        <v>-1.4</v>
      </c>
      <c r="H56" s="3">
        <v>1.8</v>
      </c>
      <c r="I56" s="3">
        <v>2.0499999999999998</v>
      </c>
      <c r="J56">
        <v>-2</v>
      </c>
      <c r="K56">
        <v>0</v>
      </c>
      <c r="L56">
        <v>0.51500000000000001</v>
      </c>
      <c r="M56">
        <v>0.59809415700000002</v>
      </c>
      <c r="N56" s="3">
        <v>1.4</v>
      </c>
    </row>
    <row r="57" spans="1:14" x14ac:dyDescent="0.2">
      <c r="A57" t="s">
        <v>1280</v>
      </c>
      <c r="B57">
        <v>2018</v>
      </c>
      <c r="C57">
        <v>64</v>
      </c>
      <c r="D57">
        <v>3</v>
      </c>
      <c r="E57" s="3">
        <v>4.99</v>
      </c>
      <c r="F57" s="3">
        <v>2.4</v>
      </c>
      <c r="G57" s="3">
        <v>2.9</v>
      </c>
      <c r="H57" s="3">
        <v>1.9</v>
      </c>
      <c r="I57" s="3">
        <v>6.31</v>
      </c>
      <c r="J57">
        <v>4</v>
      </c>
      <c r="K57">
        <v>1</v>
      </c>
      <c r="L57">
        <v>0.61899999999999999</v>
      </c>
      <c r="M57">
        <v>0.58269308799999997</v>
      </c>
      <c r="N57" s="3">
        <v>-2.9</v>
      </c>
    </row>
    <row r="58" spans="1:14" x14ac:dyDescent="0.2">
      <c r="A58" t="s">
        <v>1279</v>
      </c>
      <c r="B58">
        <v>2018</v>
      </c>
      <c r="C58">
        <v>64</v>
      </c>
      <c r="D58">
        <v>3</v>
      </c>
      <c r="E58" s="3">
        <v>2.72</v>
      </c>
      <c r="F58" s="3">
        <v>10.5</v>
      </c>
      <c r="G58" s="3">
        <v>-7.9</v>
      </c>
      <c r="H58" s="3">
        <v>4.3</v>
      </c>
      <c r="I58" s="3">
        <v>2.0099999999999998</v>
      </c>
      <c r="J58">
        <v>4</v>
      </c>
      <c r="K58">
        <v>1</v>
      </c>
      <c r="L58">
        <v>0.56499999999999995</v>
      </c>
      <c r="M58">
        <v>0.40398742700000001</v>
      </c>
      <c r="N58" s="3">
        <v>7.9</v>
      </c>
    </row>
    <row r="59" spans="1:14" x14ac:dyDescent="0.2">
      <c r="A59" t="s">
        <v>1282</v>
      </c>
      <c r="B59">
        <v>2018</v>
      </c>
      <c r="C59">
        <v>64</v>
      </c>
      <c r="D59">
        <v>3</v>
      </c>
      <c r="E59" s="3">
        <v>-0.04</v>
      </c>
      <c r="F59" s="3">
        <v>-3.5</v>
      </c>
      <c r="G59" s="3">
        <v>3.4</v>
      </c>
      <c r="H59" s="3">
        <v>-7.1</v>
      </c>
      <c r="I59" s="3">
        <v>1.82</v>
      </c>
      <c r="J59">
        <v>5</v>
      </c>
      <c r="K59">
        <v>1</v>
      </c>
      <c r="L59">
        <v>0.498</v>
      </c>
      <c r="M59">
        <v>0.58044746199999997</v>
      </c>
      <c r="N59" s="3">
        <v>-3.4</v>
      </c>
    </row>
    <row r="60" spans="1:14" x14ac:dyDescent="0.2">
      <c r="A60" t="s">
        <v>1281</v>
      </c>
      <c r="B60">
        <v>2018</v>
      </c>
      <c r="C60">
        <v>64</v>
      </c>
      <c r="D60">
        <v>3</v>
      </c>
      <c r="E60" s="3">
        <v>-2.2400000000000002</v>
      </c>
      <c r="F60" s="3">
        <v>1.8</v>
      </c>
      <c r="G60" s="3">
        <v>-3.8</v>
      </c>
      <c r="H60" s="3">
        <v>1.8</v>
      </c>
      <c r="I60" s="3">
        <v>1.03</v>
      </c>
      <c r="J60">
        <v>-17</v>
      </c>
      <c r="K60">
        <v>0</v>
      </c>
      <c r="L60">
        <v>0.442</v>
      </c>
      <c r="M60">
        <v>0.396177591</v>
      </c>
      <c r="N60" s="3">
        <v>3.8</v>
      </c>
    </row>
    <row r="61" spans="1:14" x14ac:dyDescent="0.2">
      <c r="A61" t="s">
        <v>1286</v>
      </c>
      <c r="B61">
        <v>2018</v>
      </c>
      <c r="C61">
        <v>64</v>
      </c>
      <c r="D61">
        <v>1</v>
      </c>
      <c r="E61" s="3">
        <v>2.21</v>
      </c>
      <c r="F61" s="3">
        <v>-0.1</v>
      </c>
      <c r="G61" s="3">
        <v>2.2999999999999998</v>
      </c>
      <c r="H61" s="3">
        <v>-2</v>
      </c>
      <c r="I61" s="3">
        <v>9.86</v>
      </c>
      <c r="J61">
        <v>11</v>
      </c>
      <c r="K61">
        <v>1</v>
      </c>
      <c r="L61">
        <v>0.55500000000000005</v>
      </c>
      <c r="M61">
        <v>0.63156066399999999</v>
      </c>
      <c r="N61" s="3">
        <v>-2.2999999999999998</v>
      </c>
    </row>
    <row r="62" spans="1:14" x14ac:dyDescent="0.2">
      <c r="A62" t="s">
        <v>1283</v>
      </c>
      <c r="B62">
        <v>2018</v>
      </c>
      <c r="C62">
        <v>64</v>
      </c>
      <c r="D62">
        <v>1</v>
      </c>
      <c r="E62" s="3">
        <v>2.5299999999999998</v>
      </c>
      <c r="F62" s="3">
        <v>4.3</v>
      </c>
      <c r="G62" s="3">
        <v>-1.8</v>
      </c>
      <c r="H62" s="3">
        <v>5.3</v>
      </c>
      <c r="I62" s="3">
        <v>2.21</v>
      </c>
      <c r="J62">
        <v>-10</v>
      </c>
      <c r="K62">
        <v>0</v>
      </c>
      <c r="L62">
        <v>0.56000000000000005</v>
      </c>
      <c r="M62">
        <v>0.58260725400000002</v>
      </c>
      <c r="N62" s="3">
        <v>1.8</v>
      </c>
    </row>
    <row r="63" spans="1:14" x14ac:dyDescent="0.2">
      <c r="A63" t="s">
        <v>1284</v>
      </c>
      <c r="B63">
        <v>2018</v>
      </c>
      <c r="C63">
        <v>64</v>
      </c>
      <c r="D63">
        <v>1</v>
      </c>
      <c r="E63" s="3">
        <v>-0.35</v>
      </c>
      <c r="F63" s="3">
        <v>-2.5</v>
      </c>
      <c r="G63" s="3">
        <v>2.4</v>
      </c>
      <c r="H63" s="3">
        <v>0</v>
      </c>
      <c r="I63" s="3">
        <v>8.02</v>
      </c>
      <c r="J63">
        <v>-13</v>
      </c>
      <c r="K63">
        <v>0</v>
      </c>
      <c r="L63">
        <v>0.49099999999999999</v>
      </c>
      <c r="M63">
        <v>0.29391198800000001</v>
      </c>
      <c r="N63" s="3">
        <v>-2.4</v>
      </c>
    </row>
    <row r="64" spans="1:14" x14ac:dyDescent="0.2">
      <c r="A64" t="s">
        <v>1285</v>
      </c>
      <c r="B64">
        <v>2018</v>
      </c>
      <c r="C64">
        <v>64</v>
      </c>
      <c r="D64">
        <v>1</v>
      </c>
      <c r="E64" s="3">
        <v>2.81</v>
      </c>
      <c r="F64" s="3">
        <v>6.5</v>
      </c>
      <c r="G64" s="3">
        <v>-3.9</v>
      </c>
      <c r="H64" s="3">
        <v>-0.1</v>
      </c>
      <c r="I64" s="3">
        <v>-12.59</v>
      </c>
      <c r="J64">
        <v>-3</v>
      </c>
      <c r="K64">
        <v>0</v>
      </c>
      <c r="L64">
        <v>0.57099999999999995</v>
      </c>
      <c r="M64">
        <v>0.59316977800000004</v>
      </c>
      <c r="N64" s="3">
        <v>3.9</v>
      </c>
    </row>
    <row r="65" spans="1:14" x14ac:dyDescent="0.2">
      <c r="A65" t="s">
        <v>1195</v>
      </c>
      <c r="B65">
        <v>2017</v>
      </c>
      <c r="C65">
        <v>64</v>
      </c>
      <c r="D65">
        <v>15</v>
      </c>
      <c r="E65" s="3">
        <v>34.387390000000003</v>
      </c>
      <c r="F65" s="3">
        <v>9.9290000000000003</v>
      </c>
      <c r="G65" s="3">
        <v>24.4589</v>
      </c>
      <c r="H65" s="3">
        <v>2.9699</v>
      </c>
      <c r="I65" s="3">
        <v>-0.88</v>
      </c>
      <c r="J65">
        <v>20</v>
      </c>
      <c r="K65">
        <v>1</v>
      </c>
      <c r="L65">
        <v>0.98499999999999999</v>
      </c>
      <c r="M65">
        <v>0.976795631</v>
      </c>
      <c r="N65" s="3">
        <v>-24.4589</v>
      </c>
    </row>
    <row r="66" spans="1:14" x14ac:dyDescent="0.2">
      <c r="A66" t="s">
        <v>1225</v>
      </c>
      <c r="B66">
        <v>2017</v>
      </c>
      <c r="C66">
        <v>64</v>
      </c>
      <c r="D66">
        <v>15</v>
      </c>
      <c r="E66" s="3">
        <v>30.727350000000001</v>
      </c>
      <c r="F66" s="3">
        <v>22.982199999999999</v>
      </c>
      <c r="G66" s="3">
        <v>7.7445000000000004</v>
      </c>
      <c r="H66" s="3">
        <v>1.7712000000000001</v>
      </c>
      <c r="I66" s="3">
        <v>3.94</v>
      </c>
      <c r="J66">
        <v>38</v>
      </c>
      <c r="K66">
        <v>1</v>
      </c>
      <c r="L66">
        <v>0.97</v>
      </c>
      <c r="M66">
        <v>0.98319064499999997</v>
      </c>
      <c r="N66" s="3">
        <v>-7.7445000000000004</v>
      </c>
    </row>
    <row r="67" spans="1:14" x14ac:dyDescent="0.2">
      <c r="A67" t="s">
        <v>1224</v>
      </c>
      <c r="B67">
        <v>2017</v>
      </c>
      <c r="C67">
        <v>64</v>
      </c>
      <c r="D67">
        <v>15</v>
      </c>
      <c r="E67" s="3">
        <v>35.01032</v>
      </c>
      <c r="F67" s="3">
        <v>23.775500000000001</v>
      </c>
      <c r="G67" s="3">
        <v>11.2354</v>
      </c>
      <c r="H67" s="3">
        <v>-2.8210000000000002</v>
      </c>
      <c r="I67" s="3">
        <v>-7.39</v>
      </c>
      <c r="J67">
        <v>20</v>
      </c>
      <c r="K67">
        <v>1</v>
      </c>
      <c r="L67">
        <v>0.98</v>
      </c>
      <c r="M67">
        <v>0.98742698799999995</v>
      </c>
      <c r="N67" s="3">
        <v>-11.2354</v>
      </c>
    </row>
    <row r="68" spans="1:14" x14ac:dyDescent="0.2">
      <c r="A68" t="s">
        <v>1196</v>
      </c>
      <c r="B68">
        <v>2017</v>
      </c>
      <c r="C68">
        <v>64</v>
      </c>
      <c r="D68">
        <v>15</v>
      </c>
      <c r="E68" s="3">
        <v>31.673860000000001</v>
      </c>
      <c r="F68" s="3">
        <v>18.452999999999999</v>
      </c>
      <c r="G68" s="3">
        <v>13.220599999999999</v>
      </c>
      <c r="H68" s="3">
        <v>2.2429000000000001</v>
      </c>
      <c r="I68" s="3">
        <v>-8.8000000000000007</v>
      </c>
      <c r="J68">
        <v>39</v>
      </c>
      <c r="K68">
        <v>1</v>
      </c>
      <c r="L68">
        <v>0.98</v>
      </c>
      <c r="M68">
        <v>0.97927533899999997</v>
      </c>
      <c r="N68" s="3">
        <v>-13.220599999999999</v>
      </c>
    </row>
    <row r="69" spans="1:14" x14ac:dyDescent="0.2">
      <c r="A69" t="s">
        <v>1217</v>
      </c>
      <c r="B69">
        <v>2017</v>
      </c>
      <c r="C69">
        <v>64</v>
      </c>
      <c r="D69">
        <v>13</v>
      </c>
      <c r="E69" s="3">
        <v>25.930350000000001</v>
      </c>
      <c r="F69" s="3">
        <v>12.492000000000001</v>
      </c>
      <c r="G69" s="3">
        <v>13.4382</v>
      </c>
      <c r="H69" s="3">
        <v>4.9335000000000004</v>
      </c>
      <c r="I69" s="3">
        <v>6.2</v>
      </c>
      <c r="J69">
        <v>9</v>
      </c>
      <c r="K69">
        <v>1</v>
      </c>
      <c r="L69">
        <v>0.95599999999999996</v>
      </c>
      <c r="M69">
        <v>0.96680637899999999</v>
      </c>
      <c r="N69" s="3">
        <v>-13.4382</v>
      </c>
    </row>
    <row r="70" spans="1:14" x14ac:dyDescent="0.2">
      <c r="A70" t="s">
        <v>1210</v>
      </c>
      <c r="B70">
        <v>2017</v>
      </c>
      <c r="C70">
        <v>64</v>
      </c>
      <c r="D70">
        <v>13</v>
      </c>
      <c r="E70" s="3">
        <v>26.135355000000001</v>
      </c>
      <c r="F70" s="3">
        <v>11.816000000000001</v>
      </c>
      <c r="G70" s="3">
        <v>14.319800000000001</v>
      </c>
      <c r="H70" s="3">
        <v>4.4177</v>
      </c>
      <c r="I70" s="3">
        <v>3.56</v>
      </c>
      <c r="J70">
        <v>15</v>
      </c>
      <c r="K70">
        <v>1</v>
      </c>
      <c r="L70">
        <v>0.93400000000000005</v>
      </c>
      <c r="M70">
        <v>0.97381811900000004</v>
      </c>
      <c r="N70" s="3">
        <v>-14.319800000000001</v>
      </c>
    </row>
    <row r="71" spans="1:14" x14ac:dyDescent="0.2">
      <c r="A71" t="s">
        <v>1197</v>
      </c>
      <c r="B71">
        <v>2017</v>
      </c>
      <c r="C71">
        <v>64</v>
      </c>
      <c r="D71">
        <v>13</v>
      </c>
      <c r="E71" s="3">
        <v>22.412990000000001</v>
      </c>
      <c r="F71" s="3">
        <v>11.096</v>
      </c>
      <c r="G71" s="3">
        <v>11.3179</v>
      </c>
      <c r="H71" s="3">
        <v>-8.1000000000000003E-2</v>
      </c>
      <c r="I71" s="3">
        <v>6.73</v>
      </c>
      <c r="J71">
        <v>22</v>
      </c>
      <c r="K71">
        <v>1</v>
      </c>
      <c r="L71">
        <v>0.91700000000000004</v>
      </c>
      <c r="M71">
        <v>0.96690349399999997</v>
      </c>
      <c r="N71" s="3">
        <v>-11.3179</v>
      </c>
    </row>
    <row r="72" spans="1:14" x14ac:dyDescent="0.2">
      <c r="A72" t="s">
        <v>1203</v>
      </c>
      <c r="B72">
        <v>2017</v>
      </c>
      <c r="C72">
        <v>64</v>
      </c>
      <c r="D72">
        <v>13</v>
      </c>
      <c r="E72" s="3">
        <v>23.053968000000001</v>
      </c>
      <c r="F72" s="3">
        <v>14.731</v>
      </c>
      <c r="G72" s="3">
        <v>8.3241999999999994</v>
      </c>
      <c r="H72" s="3">
        <v>-5.5822000000000003</v>
      </c>
      <c r="I72" s="3">
        <v>-1.54</v>
      </c>
      <c r="J72">
        <v>18</v>
      </c>
      <c r="K72">
        <v>1</v>
      </c>
      <c r="L72">
        <v>0.92500000000000004</v>
      </c>
      <c r="M72">
        <v>0.95250163499999996</v>
      </c>
      <c r="N72" s="3">
        <v>-8.3241999999999994</v>
      </c>
    </row>
    <row r="73" spans="1:14" x14ac:dyDescent="0.2">
      <c r="A73" t="s">
        <v>1218</v>
      </c>
      <c r="B73">
        <v>2017</v>
      </c>
      <c r="C73">
        <v>64</v>
      </c>
      <c r="D73">
        <v>11</v>
      </c>
      <c r="E73" s="3">
        <v>21.21735</v>
      </c>
      <c r="F73" s="3">
        <v>18.335999999999999</v>
      </c>
      <c r="G73" s="3">
        <v>2.8813</v>
      </c>
      <c r="H73" s="3">
        <v>4.9076000000000004</v>
      </c>
      <c r="I73" s="3">
        <v>1.0900000000000001</v>
      </c>
      <c r="J73">
        <v>17</v>
      </c>
      <c r="K73">
        <v>1</v>
      </c>
      <c r="L73">
        <v>0.92200000000000004</v>
      </c>
      <c r="M73">
        <v>0.941723643</v>
      </c>
      <c r="N73" s="3">
        <v>-2.8813</v>
      </c>
    </row>
    <row r="74" spans="1:14" x14ac:dyDescent="0.2">
      <c r="A74" t="s">
        <v>1198</v>
      </c>
      <c r="B74">
        <v>2017</v>
      </c>
      <c r="C74">
        <v>64</v>
      </c>
      <c r="D74">
        <v>11</v>
      </c>
      <c r="E74" s="3">
        <v>17.693169999999999</v>
      </c>
      <c r="F74" s="3">
        <v>7.2370000000000001</v>
      </c>
      <c r="G74" s="3">
        <v>10.457000000000001</v>
      </c>
      <c r="H74" s="3">
        <v>-4.4256000000000002</v>
      </c>
      <c r="I74" s="3">
        <v>6.16</v>
      </c>
      <c r="J74">
        <v>18</v>
      </c>
      <c r="K74">
        <v>1</v>
      </c>
      <c r="L74">
        <v>0.84099999999999997</v>
      </c>
      <c r="M74">
        <v>0.90349888499999997</v>
      </c>
      <c r="N74" s="3">
        <v>-10.457000000000001</v>
      </c>
    </row>
    <row r="75" spans="1:14" x14ac:dyDescent="0.2">
      <c r="A75" t="s">
        <v>1211</v>
      </c>
      <c r="B75">
        <v>2017</v>
      </c>
      <c r="C75">
        <v>64</v>
      </c>
      <c r="D75">
        <v>11</v>
      </c>
      <c r="E75" s="3">
        <v>19.825839999999999</v>
      </c>
      <c r="F75" s="3">
        <v>7.5309999999999997</v>
      </c>
      <c r="G75" s="3">
        <v>12.2948</v>
      </c>
      <c r="H75" s="3">
        <v>-3.7669999999999999</v>
      </c>
      <c r="I75" s="3">
        <v>0.43</v>
      </c>
      <c r="J75">
        <v>16</v>
      </c>
      <c r="K75">
        <v>1</v>
      </c>
      <c r="L75">
        <v>0.89400000000000002</v>
      </c>
      <c r="M75">
        <v>0.92245314499999997</v>
      </c>
      <c r="N75" s="3">
        <v>-12.2948</v>
      </c>
    </row>
    <row r="76" spans="1:14" x14ac:dyDescent="0.2">
      <c r="A76" t="s">
        <v>1204</v>
      </c>
      <c r="B76">
        <v>2017</v>
      </c>
      <c r="C76">
        <v>64</v>
      </c>
      <c r="D76">
        <v>11</v>
      </c>
      <c r="E76" s="3">
        <v>17.726600000000001</v>
      </c>
      <c r="F76" s="3">
        <v>7.1749999999999998</v>
      </c>
      <c r="G76" s="3">
        <v>10.5519</v>
      </c>
      <c r="H76" s="3">
        <v>5.5114999999999998</v>
      </c>
      <c r="I76" s="3">
        <v>-6.29</v>
      </c>
      <c r="J76">
        <v>6</v>
      </c>
      <c r="K76">
        <v>1</v>
      </c>
      <c r="L76">
        <v>0.86299999999999999</v>
      </c>
      <c r="M76">
        <v>0.875459337</v>
      </c>
      <c r="N76" s="3">
        <v>-10.5519</v>
      </c>
    </row>
    <row r="77" spans="1:14" x14ac:dyDescent="0.2">
      <c r="A77" t="s">
        <v>1199</v>
      </c>
      <c r="B77">
        <v>2017</v>
      </c>
      <c r="C77">
        <v>64</v>
      </c>
      <c r="D77">
        <v>9</v>
      </c>
      <c r="E77" s="3">
        <v>14.9055</v>
      </c>
      <c r="F77" s="3">
        <v>7.8769999999999998</v>
      </c>
      <c r="G77" s="3">
        <v>7.0284000000000004</v>
      </c>
      <c r="H77" s="3">
        <v>-1.2025999999999999</v>
      </c>
      <c r="I77" s="3">
        <v>8.33</v>
      </c>
      <c r="J77">
        <v>15</v>
      </c>
      <c r="K77">
        <v>1</v>
      </c>
      <c r="L77">
        <v>0.82899999999999996</v>
      </c>
      <c r="M77">
        <v>0.87491805199999995</v>
      </c>
      <c r="N77" s="3">
        <v>-7.0284000000000004</v>
      </c>
    </row>
    <row r="78" spans="1:14" x14ac:dyDescent="0.2">
      <c r="A78" t="s">
        <v>1219</v>
      </c>
      <c r="B78">
        <v>2017</v>
      </c>
      <c r="C78">
        <v>64</v>
      </c>
      <c r="D78">
        <v>9</v>
      </c>
      <c r="E78" s="3">
        <v>16.28276</v>
      </c>
      <c r="F78" s="3">
        <v>11.535</v>
      </c>
      <c r="G78" s="3">
        <v>4.7477</v>
      </c>
      <c r="H78" s="3">
        <v>-5.6214000000000004</v>
      </c>
      <c r="I78" s="3">
        <v>2.81</v>
      </c>
      <c r="J78">
        <v>12</v>
      </c>
      <c r="K78">
        <v>1</v>
      </c>
      <c r="L78">
        <v>0.84299999999999997</v>
      </c>
      <c r="M78">
        <v>0.89020590600000005</v>
      </c>
      <c r="N78" s="3">
        <v>-4.7477</v>
      </c>
    </row>
    <row r="79" spans="1:14" x14ac:dyDescent="0.2">
      <c r="A79" t="s">
        <v>1205</v>
      </c>
      <c r="B79">
        <v>2017</v>
      </c>
      <c r="C79">
        <v>64</v>
      </c>
      <c r="D79">
        <v>9</v>
      </c>
      <c r="E79" s="3">
        <v>18.083089999999999</v>
      </c>
      <c r="F79" s="3">
        <v>7.3979999999999997</v>
      </c>
      <c r="G79" s="3">
        <v>10.684900000000001</v>
      </c>
      <c r="H79" s="3">
        <v>0.21099999999999999</v>
      </c>
      <c r="I79" s="3">
        <v>-9.01</v>
      </c>
      <c r="J79">
        <v>6</v>
      </c>
      <c r="K79">
        <v>1</v>
      </c>
      <c r="L79">
        <v>0.879</v>
      </c>
      <c r="M79">
        <v>0.90182951499999997</v>
      </c>
      <c r="N79" s="3">
        <v>-10.684900000000001</v>
      </c>
    </row>
    <row r="80" spans="1:14" x14ac:dyDescent="0.2">
      <c r="A80" t="s">
        <v>1212</v>
      </c>
      <c r="B80">
        <v>2017</v>
      </c>
      <c r="C80">
        <v>64</v>
      </c>
      <c r="D80">
        <v>9</v>
      </c>
      <c r="E80" s="3">
        <v>12.338900000000001</v>
      </c>
      <c r="F80" s="3">
        <v>6.08</v>
      </c>
      <c r="G80" s="3">
        <v>6.2587999999999999</v>
      </c>
      <c r="H80" s="3">
        <v>4.5575999999999999</v>
      </c>
      <c r="I80" s="3">
        <v>-3.8</v>
      </c>
      <c r="J80">
        <v>10</v>
      </c>
      <c r="K80">
        <v>1</v>
      </c>
      <c r="L80">
        <v>0.76800000000000002</v>
      </c>
      <c r="M80">
        <v>0.85969631099999999</v>
      </c>
      <c r="N80" s="3">
        <v>-6.2587999999999999</v>
      </c>
    </row>
    <row r="81" spans="1:14" x14ac:dyDescent="0.2">
      <c r="A81" t="s">
        <v>1200</v>
      </c>
      <c r="B81">
        <v>2017</v>
      </c>
      <c r="C81">
        <v>64</v>
      </c>
      <c r="D81">
        <v>7</v>
      </c>
      <c r="E81" s="3">
        <v>14.2804</v>
      </c>
      <c r="F81" s="3">
        <v>-4.0199999999999996</v>
      </c>
      <c r="G81" s="3">
        <v>18.299600000000002</v>
      </c>
      <c r="H81" s="3">
        <v>-11.193099999999999</v>
      </c>
      <c r="I81" s="3">
        <v>0.3</v>
      </c>
      <c r="J81">
        <v>5</v>
      </c>
      <c r="K81">
        <v>1</v>
      </c>
      <c r="L81">
        <v>0.78500000000000003</v>
      </c>
      <c r="M81">
        <v>0.84476691199999998</v>
      </c>
      <c r="N81" s="3">
        <v>-18.299600000000002</v>
      </c>
    </row>
    <row r="82" spans="1:14" x14ac:dyDescent="0.2">
      <c r="A82" t="s">
        <v>1213</v>
      </c>
      <c r="B82">
        <v>2017</v>
      </c>
      <c r="C82">
        <v>64</v>
      </c>
      <c r="D82">
        <v>7</v>
      </c>
      <c r="E82" s="3">
        <v>9.7714999999999996</v>
      </c>
      <c r="F82" s="3">
        <v>5.0640000000000001</v>
      </c>
      <c r="G82" s="3">
        <v>4.7066999999999997</v>
      </c>
      <c r="H82" s="3">
        <v>-1.4844999999999999</v>
      </c>
      <c r="I82" s="3">
        <v>0.75</v>
      </c>
      <c r="J82">
        <v>11</v>
      </c>
      <c r="K82">
        <v>1</v>
      </c>
      <c r="L82">
        <v>0.73099999999999998</v>
      </c>
      <c r="M82">
        <v>0.83087963099999995</v>
      </c>
      <c r="N82" s="3">
        <v>-4.7066999999999997</v>
      </c>
    </row>
    <row r="83" spans="1:14" x14ac:dyDescent="0.2">
      <c r="A83" t="s">
        <v>1206</v>
      </c>
      <c r="B83">
        <v>2017</v>
      </c>
      <c r="C83">
        <v>64</v>
      </c>
      <c r="D83">
        <v>7</v>
      </c>
      <c r="E83" s="3">
        <v>8.5937000000000001</v>
      </c>
      <c r="F83" s="3">
        <v>9.4949999999999992</v>
      </c>
      <c r="G83" s="3">
        <v>-0.90110000000000001</v>
      </c>
      <c r="H83" s="3">
        <v>3.9218999999999999</v>
      </c>
      <c r="I83" s="3">
        <v>-6.47</v>
      </c>
      <c r="J83">
        <v>2</v>
      </c>
      <c r="K83">
        <v>1</v>
      </c>
      <c r="L83">
        <v>0.68700000000000006</v>
      </c>
      <c r="M83">
        <v>0.75470816699999999</v>
      </c>
      <c r="N83" s="3">
        <v>0.90110000000000001</v>
      </c>
    </row>
    <row r="84" spans="1:14" x14ac:dyDescent="0.2">
      <c r="A84" t="s">
        <v>1220</v>
      </c>
      <c r="B84">
        <v>2017</v>
      </c>
      <c r="C84">
        <v>64</v>
      </c>
      <c r="D84">
        <v>7</v>
      </c>
      <c r="E84" s="3">
        <v>1.9325000000000001</v>
      </c>
      <c r="F84" s="3">
        <v>-2.0659999999999998</v>
      </c>
      <c r="G84" s="3">
        <v>3.9990000000000001</v>
      </c>
      <c r="H84" s="3">
        <v>5.1402999999999999</v>
      </c>
      <c r="I84" s="3">
        <v>-5.5</v>
      </c>
      <c r="J84">
        <v>-9</v>
      </c>
      <c r="K84">
        <v>0</v>
      </c>
      <c r="L84">
        <v>0.54300000000000004</v>
      </c>
      <c r="M84">
        <v>0.51956224100000004</v>
      </c>
      <c r="N84" s="3">
        <v>-3.9990000000000001</v>
      </c>
    </row>
    <row r="85" spans="1:14" x14ac:dyDescent="0.2">
      <c r="A85" t="s">
        <v>1226</v>
      </c>
      <c r="B85">
        <v>2017</v>
      </c>
      <c r="C85">
        <v>64</v>
      </c>
      <c r="D85">
        <v>5</v>
      </c>
      <c r="E85" s="3">
        <v>12.9184</v>
      </c>
      <c r="F85" s="3">
        <v>7.5650000000000004</v>
      </c>
      <c r="G85" s="3">
        <v>5.3539000000000003</v>
      </c>
      <c r="H85" s="3">
        <v>-5.3292999999999999</v>
      </c>
      <c r="I85" s="3">
        <v>1.91</v>
      </c>
      <c r="J85">
        <v>-1</v>
      </c>
      <c r="K85">
        <v>0</v>
      </c>
      <c r="L85">
        <v>0.77</v>
      </c>
      <c r="M85">
        <v>0.80394528300000001</v>
      </c>
      <c r="N85" s="3">
        <v>-5.3539000000000003</v>
      </c>
    </row>
    <row r="86" spans="1:14" x14ac:dyDescent="0.2">
      <c r="A86" t="s">
        <v>1223</v>
      </c>
      <c r="B86">
        <v>2017</v>
      </c>
      <c r="C86">
        <v>64</v>
      </c>
      <c r="D86">
        <v>5</v>
      </c>
      <c r="E86" s="3">
        <v>4.7626999999999997</v>
      </c>
      <c r="F86" s="3">
        <v>2.177</v>
      </c>
      <c r="G86" s="3">
        <v>2.5857000000000001</v>
      </c>
      <c r="H86" s="3">
        <v>-2.38</v>
      </c>
      <c r="I86" s="3">
        <v>4.6900000000000004</v>
      </c>
      <c r="J86">
        <v>14</v>
      </c>
      <c r="K86">
        <v>1</v>
      </c>
      <c r="L86">
        <v>0.6</v>
      </c>
      <c r="M86">
        <v>0.61386175600000004</v>
      </c>
      <c r="N86" s="3">
        <v>-2.5857000000000001</v>
      </c>
    </row>
    <row r="87" spans="1:14" x14ac:dyDescent="0.2">
      <c r="A87" t="s">
        <v>1214</v>
      </c>
      <c r="B87">
        <v>2017</v>
      </c>
      <c r="C87">
        <v>64</v>
      </c>
      <c r="D87">
        <v>5</v>
      </c>
      <c r="E87" s="3">
        <v>3.9746000000000001</v>
      </c>
      <c r="F87" s="3">
        <v>4.9710000000000001</v>
      </c>
      <c r="G87" s="3">
        <v>-0.996</v>
      </c>
      <c r="H87" s="3">
        <v>4.7586000000000004</v>
      </c>
      <c r="I87" s="3">
        <v>-3.3</v>
      </c>
      <c r="J87">
        <v>-12</v>
      </c>
      <c r="K87">
        <v>0</v>
      </c>
      <c r="L87">
        <v>0.59799999999999998</v>
      </c>
      <c r="M87">
        <v>0.56085915900000005</v>
      </c>
      <c r="N87" s="3">
        <v>0.996</v>
      </c>
    </row>
    <row r="88" spans="1:14" x14ac:dyDescent="0.2">
      <c r="A88" t="s">
        <v>1207</v>
      </c>
      <c r="B88">
        <v>2017</v>
      </c>
      <c r="C88">
        <v>64</v>
      </c>
      <c r="D88">
        <v>5</v>
      </c>
      <c r="E88" s="3">
        <v>-0.48089999999999999</v>
      </c>
      <c r="F88" s="3">
        <v>-1.179</v>
      </c>
      <c r="G88" s="3">
        <v>0.69840000000000002</v>
      </c>
      <c r="H88" s="3">
        <v>-0.12590000000000001</v>
      </c>
      <c r="I88" s="3">
        <v>-6.75</v>
      </c>
      <c r="J88">
        <v>-9</v>
      </c>
      <c r="K88">
        <v>0</v>
      </c>
      <c r="L88">
        <v>0.48699999999999999</v>
      </c>
      <c r="M88">
        <v>0.50571827499999999</v>
      </c>
      <c r="N88" s="3">
        <v>-0.69840000000000002</v>
      </c>
    </row>
    <row r="89" spans="1:14" x14ac:dyDescent="0.2">
      <c r="A89" t="s">
        <v>1208</v>
      </c>
      <c r="B89">
        <v>2017</v>
      </c>
      <c r="C89">
        <v>64</v>
      </c>
      <c r="D89">
        <v>3</v>
      </c>
      <c r="E89" s="3">
        <v>10.3352</v>
      </c>
      <c r="F89" s="3">
        <v>8.8759999999999994</v>
      </c>
      <c r="G89" s="3">
        <v>1.4592000000000001</v>
      </c>
      <c r="H89" s="3">
        <v>-8.8933</v>
      </c>
      <c r="I89" s="3">
        <v>0.61</v>
      </c>
      <c r="J89">
        <v>8</v>
      </c>
      <c r="K89">
        <v>1</v>
      </c>
      <c r="L89">
        <v>0.71</v>
      </c>
      <c r="M89">
        <v>0.73777078799999996</v>
      </c>
      <c r="N89" s="3">
        <v>-1.4592000000000001</v>
      </c>
    </row>
    <row r="90" spans="1:14" x14ac:dyDescent="0.2">
      <c r="A90" t="s">
        <v>1201</v>
      </c>
      <c r="B90">
        <v>2017</v>
      </c>
      <c r="C90">
        <v>64</v>
      </c>
      <c r="D90">
        <v>3</v>
      </c>
      <c r="E90" s="3">
        <v>-0.54090000000000005</v>
      </c>
      <c r="F90" s="3">
        <v>-15.397</v>
      </c>
      <c r="G90" s="3">
        <v>14.854699999999999</v>
      </c>
      <c r="H90" s="3">
        <v>-1.7236</v>
      </c>
      <c r="I90" s="3">
        <v>4.17</v>
      </c>
      <c r="J90">
        <v>20</v>
      </c>
      <c r="K90">
        <v>1</v>
      </c>
      <c r="L90">
        <v>0.48799999999999999</v>
      </c>
      <c r="M90">
        <v>0.56726457299999999</v>
      </c>
      <c r="N90" s="3">
        <v>-14.854699999999999</v>
      </c>
    </row>
    <row r="91" spans="1:14" x14ac:dyDescent="0.2">
      <c r="A91" t="s">
        <v>1215</v>
      </c>
      <c r="B91">
        <v>2017</v>
      </c>
      <c r="C91">
        <v>64</v>
      </c>
      <c r="D91">
        <v>3</v>
      </c>
      <c r="E91" s="3">
        <v>0.51370000000000005</v>
      </c>
      <c r="F91" s="3">
        <v>-3.242</v>
      </c>
      <c r="G91" s="3">
        <v>3.7557999999999998</v>
      </c>
      <c r="H91" s="3">
        <v>-7.4481000000000002</v>
      </c>
      <c r="I91" s="3">
        <v>-3.34</v>
      </c>
      <c r="J91">
        <v>1</v>
      </c>
      <c r="K91">
        <v>1</v>
      </c>
      <c r="L91">
        <v>0.51300000000000001</v>
      </c>
      <c r="M91">
        <v>0.63343539000000004</v>
      </c>
      <c r="N91" s="3">
        <v>-3.7557999999999998</v>
      </c>
    </row>
    <row r="92" spans="1:14" x14ac:dyDescent="0.2">
      <c r="A92" t="s">
        <v>1221</v>
      </c>
      <c r="B92">
        <v>2017</v>
      </c>
      <c r="C92">
        <v>64</v>
      </c>
      <c r="D92">
        <v>3</v>
      </c>
      <c r="E92" s="3">
        <v>-10.7386</v>
      </c>
      <c r="F92" s="3">
        <v>-7.3360000000000003</v>
      </c>
      <c r="G92" s="3">
        <v>-3.4026000000000001</v>
      </c>
      <c r="H92" s="3">
        <v>-4.8399999999999999E-2</v>
      </c>
      <c r="I92" s="3">
        <v>2.92</v>
      </c>
      <c r="J92">
        <v>-6</v>
      </c>
      <c r="K92">
        <v>0</v>
      </c>
      <c r="L92">
        <v>0.25</v>
      </c>
      <c r="M92">
        <v>0.30764169099999999</v>
      </c>
      <c r="N92" s="3">
        <v>3.4026000000000001</v>
      </c>
    </row>
    <row r="93" spans="1:14" x14ac:dyDescent="0.2">
      <c r="A93" t="s">
        <v>1202</v>
      </c>
      <c r="B93">
        <v>2017</v>
      </c>
      <c r="C93">
        <v>64</v>
      </c>
      <c r="D93">
        <v>1</v>
      </c>
      <c r="E93" s="3">
        <v>7.3531000000000004</v>
      </c>
      <c r="F93" s="3">
        <v>-3.7690000000000001</v>
      </c>
      <c r="G93" s="3">
        <v>11.1227</v>
      </c>
      <c r="H93" s="3">
        <v>-4.9897999999999998</v>
      </c>
      <c r="I93" s="3">
        <v>6.75</v>
      </c>
      <c r="J93">
        <v>10</v>
      </c>
      <c r="K93">
        <v>1</v>
      </c>
      <c r="L93">
        <v>0.66500000000000004</v>
      </c>
      <c r="M93">
        <v>0.78979804099999995</v>
      </c>
      <c r="N93" s="3">
        <v>-11.1227</v>
      </c>
    </row>
    <row r="94" spans="1:14" x14ac:dyDescent="0.2">
      <c r="A94" t="s">
        <v>1222</v>
      </c>
      <c r="B94">
        <v>2017</v>
      </c>
      <c r="C94">
        <v>64</v>
      </c>
      <c r="D94">
        <v>1</v>
      </c>
      <c r="E94" s="3">
        <v>1.65</v>
      </c>
      <c r="F94" s="3">
        <v>6.8390000000000004</v>
      </c>
      <c r="G94" s="3">
        <v>-5.1882999999999999</v>
      </c>
      <c r="H94" s="3">
        <v>2.1305999999999998</v>
      </c>
      <c r="I94" s="3">
        <v>0.92</v>
      </c>
      <c r="J94">
        <v>6</v>
      </c>
      <c r="K94">
        <v>1</v>
      </c>
      <c r="L94">
        <v>0.54100000000000004</v>
      </c>
      <c r="M94">
        <v>0.50573823900000003</v>
      </c>
      <c r="N94" s="3">
        <v>5.1882999999999999</v>
      </c>
    </row>
    <row r="95" spans="1:14" x14ac:dyDescent="0.2">
      <c r="A95" t="s">
        <v>1216</v>
      </c>
      <c r="B95">
        <v>2017</v>
      </c>
      <c r="C95">
        <v>64</v>
      </c>
      <c r="D95">
        <v>1</v>
      </c>
      <c r="E95" s="3">
        <v>1.9849000000000001</v>
      </c>
      <c r="F95" s="3">
        <v>-0.183</v>
      </c>
      <c r="G95" s="3">
        <v>2.1682000000000001</v>
      </c>
      <c r="H95" s="3">
        <v>-3.7486999999999999</v>
      </c>
      <c r="I95" s="3">
        <v>-8.26</v>
      </c>
      <c r="J95">
        <v>-20</v>
      </c>
      <c r="K95">
        <v>0</v>
      </c>
      <c r="L95">
        <v>0.54300000000000004</v>
      </c>
      <c r="M95">
        <v>0.55124140399999999</v>
      </c>
      <c r="N95" s="3">
        <v>-2.1682000000000001</v>
      </c>
    </row>
    <row r="96" spans="1:14" x14ac:dyDescent="0.2">
      <c r="A96" t="s">
        <v>1209</v>
      </c>
      <c r="B96">
        <v>2017</v>
      </c>
      <c r="C96">
        <v>64</v>
      </c>
      <c r="D96">
        <v>1</v>
      </c>
      <c r="E96" s="3">
        <v>-0.72660000000000002</v>
      </c>
      <c r="F96" s="3">
        <v>-1.1140000000000001</v>
      </c>
      <c r="G96" s="3">
        <v>0.38719999999999999</v>
      </c>
      <c r="H96" s="3">
        <v>-0.4521</v>
      </c>
      <c r="I96" s="3">
        <v>-9.42</v>
      </c>
      <c r="J96">
        <v>2</v>
      </c>
      <c r="K96">
        <v>1</v>
      </c>
      <c r="L96">
        <v>0.48499999999999999</v>
      </c>
      <c r="M96">
        <v>0.45429281599999999</v>
      </c>
      <c r="N96" s="3">
        <v>-0.38719999999999999</v>
      </c>
    </row>
    <row r="97" spans="1:14" x14ac:dyDescent="0.2">
      <c r="A97" t="s">
        <v>1240</v>
      </c>
      <c r="B97">
        <v>2017</v>
      </c>
      <c r="C97">
        <v>32</v>
      </c>
      <c r="D97">
        <v>8</v>
      </c>
      <c r="E97" s="3">
        <v>12.26</v>
      </c>
      <c r="F97" s="3">
        <v>4.0999999999999996</v>
      </c>
      <c r="G97" s="3">
        <v>8.3000000000000007</v>
      </c>
      <c r="H97" s="3">
        <v>-5.0999999999999996</v>
      </c>
      <c r="I97" s="3">
        <v>4.78</v>
      </c>
      <c r="J97">
        <v>4</v>
      </c>
      <c r="K97">
        <v>1</v>
      </c>
      <c r="L97">
        <v>0.76</v>
      </c>
      <c r="M97">
        <v>0.76187593600000003</v>
      </c>
      <c r="N97" s="3">
        <v>-8.3000000000000007</v>
      </c>
    </row>
    <row r="98" spans="1:14" x14ac:dyDescent="0.2">
      <c r="A98" t="s">
        <v>1230</v>
      </c>
      <c r="B98">
        <v>2017</v>
      </c>
      <c r="C98">
        <v>32</v>
      </c>
      <c r="D98">
        <v>8</v>
      </c>
      <c r="E98" s="3">
        <v>10.06</v>
      </c>
      <c r="F98" s="3">
        <v>9.5</v>
      </c>
      <c r="G98" s="3">
        <v>0.6</v>
      </c>
      <c r="H98" s="3">
        <v>3.6</v>
      </c>
      <c r="I98" s="3">
        <v>-1.45</v>
      </c>
      <c r="J98">
        <v>20</v>
      </c>
      <c r="K98">
        <v>1</v>
      </c>
      <c r="L98">
        <v>0.74</v>
      </c>
      <c r="M98">
        <v>0.81296242699999999</v>
      </c>
      <c r="N98" s="3">
        <v>-0.6</v>
      </c>
    </row>
    <row r="99" spans="1:14" x14ac:dyDescent="0.2">
      <c r="A99" t="s">
        <v>1232</v>
      </c>
      <c r="B99">
        <v>2017</v>
      </c>
      <c r="C99">
        <v>32</v>
      </c>
      <c r="D99">
        <v>8</v>
      </c>
      <c r="E99" s="3">
        <v>7.44</v>
      </c>
      <c r="F99" s="3">
        <v>7</v>
      </c>
      <c r="G99" s="3">
        <v>0.6</v>
      </c>
      <c r="H99" s="3">
        <v>0.4</v>
      </c>
      <c r="I99" s="3">
        <v>-1.35</v>
      </c>
      <c r="J99">
        <v>3</v>
      </c>
      <c r="K99">
        <v>1</v>
      </c>
      <c r="L99">
        <v>0.67</v>
      </c>
      <c r="M99">
        <v>0.67766842599999999</v>
      </c>
      <c r="N99" s="3">
        <v>-0.6</v>
      </c>
    </row>
    <row r="100" spans="1:14" x14ac:dyDescent="0.2">
      <c r="A100" t="s">
        <v>1236</v>
      </c>
      <c r="B100">
        <v>2017</v>
      </c>
      <c r="C100">
        <v>32</v>
      </c>
      <c r="D100">
        <v>8</v>
      </c>
      <c r="E100" s="3">
        <v>6.56</v>
      </c>
      <c r="F100" s="3">
        <v>1.5</v>
      </c>
      <c r="G100" s="3">
        <v>5.0999999999999996</v>
      </c>
      <c r="H100" s="3">
        <v>4.0999999999999996</v>
      </c>
      <c r="I100" s="3">
        <v>-9.42</v>
      </c>
      <c r="J100">
        <v>-25</v>
      </c>
      <c r="K100">
        <v>0</v>
      </c>
      <c r="L100">
        <v>0.66</v>
      </c>
      <c r="M100">
        <v>0.70082137600000005</v>
      </c>
      <c r="N100" s="3">
        <v>-5.0999999999999996</v>
      </c>
    </row>
    <row r="101" spans="1:14" x14ac:dyDescent="0.2">
      <c r="A101" t="s">
        <v>1227</v>
      </c>
      <c r="B101">
        <v>2017</v>
      </c>
      <c r="C101">
        <v>32</v>
      </c>
      <c r="D101">
        <v>8</v>
      </c>
      <c r="E101" s="3">
        <v>5.22</v>
      </c>
      <c r="F101" s="3">
        <v>4.9000000000000004</v>
      </c>
      <c r="G101" s="3">
        <v>0.2</v>
      </c>
      <c r="H101" s="3">
        <v>1.1000000000000001</v>
      </c>
      <c r="I101" s="3">
        <v>1.26</v>
      </c>
      <c r="J101">
        <v>9</v>
      </c>
      <c r="K101">
        <v>1</v>
      </c>
      <c r="L101">
        <v>0.62</v>
      </c>
      <c r="M101">
        <v>0.70271974100000001</v>
      </c>
      <c r="N101" s="3">
        <v>-0.2</v>
      </c>
    </row>
    <row r="102" spans="1:14" x14ac:dyDescent="0.2">
      <c r="A102" t="s">
        <v>1229</v>
      </c>
      <c r="B102">
        <v>2017</v>
      </c>
      <c r="C102">
        <v>32</v>
      </c>
      <c r="D102">
        <v>8</v>
      </c>
      <c r="E102" s="3">
        <v>0.21</v>
      </c>
      <c r="F102" s="3">
        <v>-0.4</v>
      </c>
      <c r="G102" s="3">
        <v>0.9</v>
      </c>
      <c r="H102" s="3">
        <v>4.4000000000000004</v>
      </c>
      <c r="I102" s="3">
        <v>3.95</v>
      </c>
      <c r="J102">
        <v>3</v>
      </c>
      <c r="K102">
        <v>1</v>
      </c>
      <c r="L102">
        <v>0.51</v>
      </c>
      <c r="M102">
        <v>0.67367197199999995</v>
      </c>
      <c r="N102" s="3">
        <v>-0.9</v>
      </c>
    </row>
    <row r="103" spans="1:14" x14ac:dyDescent="0.2">
      <c r="A103" t="s">
        <v>1234</v>
      </c>
      <c r="B103">
        <v>2017</v>
      </c>
      <c r="C103">
        <v>32</v>
      </c>
      <c r="D103">
        <v>7</v>
      </c>
      <c r="E103" s="3">
        <v>17.2</v>
      </c>
      <c r="F103" s="3">
        <v>8.4</v>
      </c>
      <c r="G103" s="3">
        <v>8.8000000000000007</v>
      </c>
      <c r="H103" s="3">
        <v>4.5999999999999996</v>
      </c>
      <c r="I103" s="3">
        <v>3.54</v>
      </c>
      <c r="J103">
        <v>6</v>
      </c>
      <c r="K103">
        <v>1</v>
      </c>
      <c r="L103">
        <v>0.85</v>
      </c>
      <c r="M103">
        <v>0.88195106599999995</v>
      </c>
      <c r="N103" s="3">
        <v>-8.8000000000000007</v>
      </c>
    </row>
    <row r="104" spans="1:14" x14ac:dyDescent="0.2">
      <c r="A104" t="s">
        <v>1292</v>
      </c>
      <c r="B104">
        <v>2017</v>
      </c>
      <c r="C104">
        <v>32</v>
      </c>
      <c r="D104">
        <v>7</v>
      </c>
      <c r="E104" s="3">
        <v>12.24</v>
      </c>
      <c r="F104" s="3">
        <v>5.2</v>
      </c>
      <c r="G104" s="3">
        <v>6.3</v>
      </c>
      <c r="H104" s="3">
        <v>1.2</v>
      </c>
      <c r="I104" s="3">
        <v>5.36</v>
      </c>
      <c r="J104">
        <v>7</v>
      </c>
      <c r="K104">
        <v>1</v>
      </c>
      <c r="L104">
        <v>0.77</v>
      </c>
      <c r="M104">
        <v>0.82181931900000005</v>
      </c>
      <c r="N104" s="3">
        <v>-6.3</v>
      </c>
    </row>
    <row r="105" spans="1:14" x14ac:dyDescent="0.2">
      <c r="A105" t="s">
        <v>1238</v>
      </c>
      <c r="B105">
        <v>2017</v>
      </c>
      <c r="C105">
        <v>32</v>
      </c>
      <c r="D105">
        <v>7</v>
      </c>
      <c r="E105" s="3">
        <v>7.85</v>
      </c>
      <c r="F105" s="3">
        <v>8.3000000000000007</v>
      </c>
      <c r="G105" s="3">
        <v>-0.5</v>
      </c>
      <c r="H105" s="3">
        <v>0.7</v>
      </c>
      <c r="I105" s="3">
        <v>5.18</v>
      </c>
      <c r="J105">
        <v>-3</v>
      </c>
      <c r="K105">
        <v>0</v>
      </c>
      <c r="L105">
        <v>0.66</v>
      </c>
      <c r="M105">
        <v>0.78754911699999997</v>
      </c>
      <c r="N105" s="3">
        <v>0.5</v>
      </c>
    </row>
    <row r="106" spans="1:14" x14ac:dyDescent="0.2">
      <c r="A106" t="s">
        <v>1241</v>
      </c>
      <c r="B106">
        <v>2017</v>
      </c>
      <c r="C106">
        <v>32</v>
      </c>
      <c r="D106">
        <v>5</v>
      </c>
      <c r="E106" s="3">
        <v>7.23</v>
      </c>
      <c r="F106" s="3">
        <v>14.2</v>
      </c>
      <c r="G106" s="3">
        <v>-7.7</v>
      </c>
      <c r="H106" s="3">
        <v>-0.4</v>
      </c>
      <c r="I106" s="3">
        <v>-2.2799999999999998</v>
      </c>
      <c r="J106">
        <v>-7</v>
      </c>
      <c r="K106">
        <v>0</v>
      </c>
      <c r="L106">
        <v>0.66</v>
      </c>
      <c r="M106">
        <v>0.77795365100000002</v>
      </c>
      <c r="N106" s="3">
        <v>7.7</v>
      </c>
    </row>
    <row r="107" spans="1:14" x14ac:dyDescent="0.2">
      <c r="A107" t="s">
        <v>1233</v>
      </c>
      <c r="B107">
        <v>2017</v>
      </c>
      <c r="C107">
        <v>32</v>
      </c>
      <c r="D107">
        <v>5</v>
      </c>
      <c r="E107" s="3">
        <v>3.7</v>
      </c>
      <c r="F107" s="3">
        <v>-5.0999999999999996</v>
      </c>
      <c r="G107" s="3">
        <v>8.1999999999999993</v>
      </c>
      <c r="H107" s="3">
        <v>5</v>
      </c>
      <c r="I107" s="3">
        <v>4.95</v>
      </c>
      <c r="J107">
        <v>-4</v>
      </c>
      <c r="K107">
        <v>0</v>
      </c>
      <c r="L107">
        <v>0.56999999999999995</v>
      </c>
      <c r="M107">
        <v>0.67329758200000001</v>
      </c>
      <c r="N107" s="3">
        <v>-8.1999999999999993</v>
      </c>
    </row>
    <row r="108" spans="1:14" x14ac:dyDescent="0.2">
      <c r="A108" t="s">
        <v>1237</v>
      </c>
      <c r="B108">
        <v>2017</v>
      </c>
      <c r="C108">
        <v>32</v>
      </c>
      <c r="D108">
        <v>5</v>
      </c>
      <c r="E108" s="3">
        <v>-1.69</v>
      </c>
      <c r="F108" s="3">
        <v>-1.1000000000000001</v>
      </c>
      <c r="G108" s="3">
        <v>-0.6</v>
      </c>
      <c r="H108" s="3">
        <v>6</v>
      </c>
      <c r="I108" s="3">
        <v>5.8</v>
      </c>
      <c r="J108">
        <v>9</v>
      </c>
      <c r="K108">
        <v>1</v>
      </c>
      <c r="L108">
        <v>0.46</v>
      </c>
      <c r="M108">
        <v>0.55260020600000004</v>
      </c>
      <c r="N108" s="3">
        <v>0.6</v>
      </c>
    </row>
    <row r="109" spans="1:14" x14ac:dyDescent="0.2">
      <c r="A109" t="s">
        <v>1228</v>
      </c>
      <c r="B109">
        <v>2017</v>
      </c>
      <c r="C109">
        <v>32</v>
      </c>
      <c r="D109">
        <v>3</v>
      </c>
      <c r="E109" s="3">
        <v>0.16</v>
      </c>
      <c r="F109" s="3">
        <v>8.1999999999999993</v>
      </c>
      <c r="G109" s="3">
        <v>-7.9</v>
      </c>
      <c r="H109" s="3">
        <v>9.5</v>
      </c>
      <c r="I109" s="3">
        <v>-4.25</v>
      </c>
      <c r="J109">
        <v>12</v>
      </c>
      <c r="K109">
        <v>1</v>
      </c>
      <c r="L109">
        <v>0.51</v>
      </c>
      <c r="M109">
        <v>0.608901849</v>
      </c>
      <c r="N109" s="3">
        <v>7.9</v>
      </c>
    </row>
    <row r="110" spans="1:14" x14ac:dyDescent="0.2">
      <c r="A110" t="s">
        <v>1235</v>
      </c>
      <c r="B110">
        <v>2017</v>
      </c>
      <c r="C110">
        <v>32</v>
      </c>
      <c r="D110">
        <v>1</v>
      </c>
      <c r="E110" s="3">
        <v>5.78</v>
      </c>
      <c r="F110" s="3">
        <v>-1.9</v>
      </c>
      <c r="G110" s="3">
        <v>7.6</v>
      </c>
      <c r="H110" s="3">
        <v>3.1</v>
      </c>
      <c r="I110" s="3">
        <v>-3.95</v>
      </c>
      <c r="J110">
        <v>12</v>
      </c>
      <c r="K110">
        <v>1</v>
      </c>
      <c r="L110">
        <v>0.64</v>
      </c>
      <c r="M110">
        <v>0.68507536700000005</v>
      </c>
      <c r="N110" s="3">
        <v>-7.6</v>
      </c>
    </row>
    <row r="111" spans="1:14" x14ac:dyDescent="0.2">
      <c r="A111" t="s">
        <v>1231</v>
      </c>
      <c r="B111">
        <v>2017</v>
      </c>
      <c r="C111">
        <v>32</v>
      </c>
      <c r="D111">
        <v>1</v>
      </c>
      <c r="E111" s="3">
        <v>1.1000000000000001</v>
      </c>
      <c r="F111" s="3">
        <v>-2.2999999999999998</v>
      </c>
      <c r="G111" s="3">
        <v>3.4</v>
      </c>
      <c r="H111" s="3">
        <v>0.9</v>
      </c>
      <c r="I111" s="3">
        <v>-1.73</v>
      </c>
      <c r="J111">
        <v>4</v>
      </c>
      <c r="K111">
        <v>1</v>
      </c>
      <c r="L111">
        <v>0.53</v>
      </c>
      <c r="M111">
        <v>0.54170947899999999</v>
      </c>
      <c r="N111" s="3">
        <v>-3.4</v>
      </c>
    </row>
    <row r="112" spans="1:14" x14ac:dyDescent="0.2">
      <c r="A112" t="s">
        <v>1239</v>
      </c>
      <c r="B112">
        <v>2017</v>
      </c>
      <c r="C112">
        <v>32</v>
      </c>
      <c r="D112">
        <v>1</v>
      </c>
      <c r="E112" s="3">
        <v>0.34</v>
      </c>
      <c r="F112" s="3">
        <v>2.5</v>
      </c>
      <c r="G112" s="3">
        <v>-2.1</v>
      </c>
      <c r="H112" s="3">
        <v>9.8000000000000007</v>
      </c>
      <c r="I112" s="3">
        <v>6.12</v>
      </c>
      <c r="J112">
        <v>26</v>
      </c>
      <c r="K112">
        <v>1</v>
      </c>
      <c r="L112">
        <v>0.51</v>
      </c>
      <c r="M112">
        <v>0.46519007000000001</v>
      </c>
      <c r="N112" s="3">
        <v>2.1</v>
      </c>
    </row>
    <row r="113" spans="1:14" x14ac:dyDescent="0.2">
      <c r="A113" t="s">
        <v>1245</v>
      </c>
      <c r="B113">
        <v>2017</v>
      </c>
      <c r="C113">
        <v>16</v>
      </c>
      <c r="D113">
        <v>9</v>
      </c>
      <c r="E113" s="3">
        <v>6.69</v>
      </c>
      <c r="F113" s="3">
        <v>2.5</v>
      </c>
      <c r="G113" s="3">
        <v>4.2</v>
      </c>
      <c r="H113" s="3">
        <v>-1.1000000000000001</v>
      </c>
      <c r="I113" s="3">
        <v>-4.29</v>
      </c>
      <c r="J113">
        <v>-2</v>
      </c>
      <c r="K113">
        <v>0</v>
      </c>
      <c r="L113">
        <v>0.65</v>
      </c>
      <c r="M113">
        <v>0.67692726599999997</v>
      </c>
      <c r="N113" s="3">
        <v>-4.2</v>
      </c>
    </row>
    <row r="114" spans="1:14" x14ac:dyDescent="0.2">
      <c r="A114" t="s">
        <v>1243</v>
      </c>
      <c r="B114">
        <v>2017</v>
      </c>
      <c r="C114">
        <v>16</v>
      </c>
      <c r="D114">
        <v>4</v>
      </c>
      <c r="E114" s="3">
        <v>6.64</v>
      </c>
      <c r="F114" s="3">
        <v>10.8</v>
      </c>
      <c r="G114" s="3">
        <v>-4</v>
      </c>
      <c r="H114" s="3">
        <v>-5</v>
      </c>
      <c r="I114" s="3">
        <v>-0.69</v>
      </c>
      <c r="J114">
        <v>-20</v>
      </c>
      <c r="K114">
        <v>0</v>
      </c>
      <c r="L114">
        <v>0.66</v>
      </c>
      <c r="M114">
        <v>0.56211614099999996</v>
      </c>
      <c r="N114" s="3">
        <v>4</v>
      </c>
    </row>
    <row r="115" spans="1:14" x14ac:dyDescent="0.2">
      <c r="A115" t="s">
        <v>1242</v>
      </c>
      <c r="B115">
        <v>2017</v>
      </c>
      <c r="C115">
        <v>16</v>
      </c>
      <c r="D115">
        <v>4</v>
      </c>
      <c r="E115" s="3">
        <v>5.0199999999999996</v>
      </c>
      <c r="F115" s="3">
        <v>1.8</v>
      </c>
      <c r="G115" s="3">
        <v>3.4</v>
      </c>
      <c r="H115" s="3">
        <v>5.6</v>
      </c>
      <c r="I115" s="3">
        <v>9.81</v>
      </c>
      <c r="J115">
        <v>1</v>
      </c>
      <c r="K115">
        <v>1</v>
      </c>
      <c r="L115">
        <v>0.62</v>
      </c>
      <c r="M115">
        <v>0.54378737200000005</v>
      </c>
      <c r="N115" s="3">
        <v>-3.4</v>
      </c>
    </row>
    <row r="116" spans="1:14" x14ac:dyDescent="0.2">
      <c r="A116" t="s">
        <v>1247</v>
      </c>
      <c r="B116">
        <v>2017</v>
      </c>
      <c r="C116">
        <v>16</v>
      </c>
      <c r="D116">
        <v>4</v>
      </c>
      <c r="E116" s="3">
        <v>0.78</v>
      </c>
      <c r="F116" s="3">
        <v>-4.2</v>
      </c>
      <c r="G116" s="3">
        <v>5</v>
      </c>
      <c r="H116" s="3">
        <v>3.9</v>
      </c>
      <c r="I116" s="3">
        <v>1.02</v>
      </c>
      <c r="J116">
        <v>1</v>
      </c>
      <c r="K116">
        <v>1</v>
      </c>
      <c r="L116">
        <v>0.52</v>
      </c>
      <c r="M116">
        <v>0.43389412199999999</v>
      </c>
      <c r="N116" s="3">
        <v>-5</v>
      </c>
    </row>
    <row r="117" spans="1:14" x14ac:dyDescent="0.2">
      <c r="A117" t="s">
        <v>1293</v>
      </c>
      <c r="B117">
        <v>2017</v>
      </c>
      <c r="C117">
        <v>16</v>
      </c>
      <c r="D117">
        <v>3</v>
      </c>
      <c r="E117" s="3">
        <v>6.22</v>
      </c>
      <c r="F117" s="3">
        <v>3.4</v>
      </c>
      <c r="G117" s="3">
        <v>2.9</v>
      </c>
      <c r="H117" s="3">
        <v>5.2</v>
      </c>
      <c r="I117" s="3">
        <v>-1.22</v>
      </c>
      <c r="J117">
        <v>12</v>
      </c>
      <c r="K117">
        <v>1</v>
      </c>
      <c r="L117">
        <v>0.65</v>
      </c>
      <c r="M117">
        <v>0.67949190800000003</v>
      </c>
      <c r="N117" s="3">
        <v>-2.9</v>
      </c>
    </row>
    <row r="118" spans="1:14" x14ac:dyDescent="0.2">
      <c r="A118" t="s">
        <v>1244</v>
      </c>
      <c r="B118">
        <v>2017</v>
      </c>
      <c r="C118">
        <v>16</v>
      </c>
      <c r="D118">
        <v>3</v>
      </c>
      <c r="E118" s="3">
        <v>5.27</v>
      </c>
      <c r="F118" s="3">
        <v>2.4</v>
      </c>
      <c r="G118" s="3">
        <v>2.9</v>
      </c>
      <c r="H118" s="3">
        <v>0.2</v>
      </c>
      <c r="I118" s="3">
        <v>8.6300000000000008</v>
      </c>
      <c r="J118">
        <v>3</v>
      </c>
      <c r="K118">
        <v>1</v>
      </c>
      <c r="L118">
        <v>0.64</v>
      </c>
      <c r="M118">
        <v>0.65616811200000003</v>
      </c>
      <c r="N118" s="3">
        <v>-2.9</v>
      </c>
    </row>
    <row r="119" spans="1:14" x14ac:dyDescent="0.2">
      <c r="A119" t="s">
        <v>1246</v>
      </c>
      <c r="B119">
        <v>2017</v>
      </c>
      <c r="C119">
        <v>16</v>
      </c>
      <c r="D119">
        <v>3</v>
      </c>
      <c r="E119" s="3">
        <v>2.4900000000000002</v>
      </c>
      <c r="F119" s="3">
        <v>4.3</v>
      </c>
      <c r="G119" s="3">
        <v>-1.8</v>
      </c>
      <c r="H119" s="3">
        <v>1.3</v>
      </c>
      <c r="I119" s="3">
        <v>4.6900000000000004</v>
      </c>
      <c r="J119">
        <v>32</v>
      </c>
      <c r="K119">
        <v>1</v>
      </c>
      <c r="L119">
        <v>0.63</v>
      </c>
      <c r="M119">
        <v>0.69675108600000002</v>
      </c>
      <c r="N119" s="3">
        <v>1.8</v>
      </c>
    </row>
    <row r="120" spans="1:14" x14ac:dyDescent="0.2">
      <c r="A120" t="s">
        <v>1248</v>
      </c>
      <c r="B120">
        <v>2017</v>
      </c>
      <c r="C120">
        <v>16</v>
      </c>
      <c r="D120">
        <v>1</v>
      </c>
      <c r="E120" s="3">
        <v>3.11</v>
      </c>
      <c r="F120" s="3">
        <v>-5.0999999999999996</v>
      </c>
      <c r="G120" s="3">
        <v>8.3000000000000007</v>
      </c>
      <c r="H120" s="3">
        <v>-0.5</v>
      </c>
      <c r="I120" s="3">
        <v>8.3699999999999992</v>
      </c>
      <c r="J120">
        <v>11</v>
      </c>
      <c r="K120">
        <v>1</v>
      </c>
      <c r="L120">
        <v>0.59</v>
      </c>
      <c r="M120">
        <v>0.67617371900000001</v>
      </c>
      <c r="N120" s="3">
        <v>-8.3000000000000007</v>
      </c>
    </row>
    <row r="121" spans="1:14" x14ac:dyDescent="0.2">
      <c r="A121" t="s">
        <v>1251</v>
      </c>
      <c r="B121">
        <v>2017</v>
      </c>
      <c r="C121">
        <v>8</v>
      </c>
      <c r="D121">
        <v>10</v>
      </c>
      <c r="E121" s="3">
        <v>14.99</v>
      </c>
      <c r="F121" s="3">
        <v>2.5</v>
      </c>
      <c r="G121" s="3">
        <v>12.5</v>
      </c>
      <c r="H121" s="3">
        <v>2.9</v>
      </c>
      <c r="I121" s="3">
        <v>-5.0999999999999996</v>
      </c>
      <c r="J121">
        <v>24</v>
      </c>
      <c r="K121">
        <v>1</v>
      </c>
      <c r="L121">
        <v>0.83</v>
      </c>
      <c r="M121">
        <v>0.78358313800000001</v>
      </c>
      <c r="N121" s="3">
        <v>-12.5</v>
      </c>
    </row>
    <row r="122" spans="1:14" x14ac:dyDescent="0.2">
      <c r="A122" t="s">
        <v>1252</v>
      </c>
      <c r="B122">
        <v>2017</v>
      </c>
      <c r="C122">
        <v>8</v>
      </c>
      <c r="D122">
        <v>3</v>
      </c>
      <c r="E122" s="3">
        <v>8.07</v>
      </c>
      <c r="F122" s="3">
        <v>9.3000000000000007</v>
      </c>
      <c r="G122" s="3">
        <v>-1.2</v>
      </c>
      <c r="H122" s="3">
        <v>0.3</v>
      </c>
      <c r="I122" s="3">
        <v>6.53</v>
      </c>
      <c r="J122">
        <v>-7</v>
      </c>
      <c r="K122">
        <v>0</v>
      </c>
      <c r="L122">
        <v>0.7</v>
      </c>
      <c r="M122">
        <v>0.59279216499999998</v>
      </c>
      <c r="N122" s="3">
        <v>1.2</v>
      </c>
    </row>
    <row r="123" spans="1:14" x14ac:dyDescent="0.2">
      <c r="A123" t="s">
        <v>1250</v>
      </c>
      <c r="B123">
        <v>2017</v>
      </c>
      <c r="C123">
        <v>8</v>
      </c>
      <c r="D123">
        <v>2</v>
      </c>
      <c r="E123" s="3">
        <v>4.43</v>
      </c>
      <c r="F123" s="3">
        <v>4.5</v>
      </c>
      <c r="G123" s="3">
        <v>0</v>
      </c>
      <c r="H123" s="3">
        <v>3.4</v>
      </c>
      <c r="I123" s="3">
        <v>2.0499999999999998</v>
      </c>
      <c r="J123">
        <v>-14</v>
      </c>
      <c r="K123">
        <v>0</v>
      </c>
      <c r="L123">
        <v>0.67</v>
      </c>
      <c r="M123">
        <v>0.822252439</v>
      </c>
      <c r="N123" s="3">
        <v>0</v>
      </c>
    </row>
    <row r="124" spans="1:14" x14ac:dyDescent="0.2">
      <c r="A124" t="s">
        <v>1294</v>
      </c>
      <c r="B124">
        <v>2017</v>
      </c>
      <c r="C124">
        <v>8</v>
      </c>
      <c r="D124">
        <v>1</v>
      </c>
      <c r="E124" s="3">
        <v>-0.02</v>
      </c>
      <c r="F124" s="3">
        <v>2.1</v>
      </c>
      <c r="G124" s="3">
        <v>-2.2000000000000002</v>
      </c>
      <c r="H124" s="3">
        <v>-1</v>
      </c>
      <c r="I124" s="3">
        <v>0.24</v>
      </c>
      <c r="J124">
        <v>2</v>
      </c>
      <c r="K124">
        <v>1</v>
      </c>
      <c r="L124">
        <v>0.5</v>
      </c>
      <c r="M124">
        <v>0.43949070699999998</v>
      </c>
      <c r="N124" s="3">
        <v>2.2000000000000002</v>
      </c>
    </row>
    <row r="125" spans="1:14" x14ac:dyDescent="0.2">
      <c r="A125" t="s">
        <v>1249</v>
      </c>
      <c r="B125">
        <v>2017</v>
      </c>
      <c r="C125">
        <v>4</v>
      </c>
      <c r="D125">
        <v>6</v>
      </c>
      <c r="E125" s="3">
        <v>12.38</v>
      </c>
      <c r="F125" s="3">
        <v>10.5</v>
      </c>
      <c r="G125" s="3">
        <v>1.9</v>
      </c>
      <c r="H125" s="3">
        <v>1.4</v>
      </c>
      <c r="I125" s="3">
        <v>-1.63</v>
      </c>
      <c r="J125">
        <v>4</v>
      </c>
      <c r="K125">
        <v>1</v>
      </c>
      <c r="L125">
        <v>0.79</v>
      </c>
      <c r="M125">
        <v>0.68848832500000001</v>
      </c>
      <c r="N125" s="3">
        <v>-1.9</v>
      </c>
    </row>
    <row r="126" spans="1:14" x14ac:dyDescent="0.2">
      <c r="A126" t="s">
        <v>1295</v>
      </c>
      <c r="B126">
        <v>2017</v>
      </c>
      <c r="C126">
        <v>4</v>
      </c>
      <c r="D126">
        <v>2</v>
      </c>
      <c r="E126" s="3">
        <v>2.85</v>
      </c>
      <c r="F126" s="3">
        <v>2.8</v>
      </c>
      <c r="G126" s="3">
        <v>0.1</v>
      </c>
      <c r="H126" s="3">
        <v>4.2</v>
      </c>
      <c r="I126" s="3">
        <v>3.47</v>
      </c>
      <c r="J126">
        <v>1</v>
      </c>
      <c r="K126">
        <v>1</v>
      </c>
      <c r="L126">
        <v>0.56999999999999995</v>
      </c>
      <c r="M126">
        <v>0.52192737300000003</v>
      </c>
      <c r="N126" s="3">
        <v>-0.1</v>
      </c>
    </row>
    <row r="127" spans="1:14" x14ac:dyDescent="0.2">
      <c r="A127" t="s">
        <v>1296</v>
      </c>
      <c r="B127">
        <v>2017</v>
      </c>
      <c r="C127">
        <v>2</v>
      </c>
      <c r="D127">
        <v>0</v>
      </c>
      <c r="E127" s="3">
        <v>-4.9000000000000004</v>
      </c>
      <c r="F127" s="3">
        <v>1.6</v>
      </c>
      <c r="G127" s="3">
        <v>-6.6</v>
      </c>
      <c r="H127" s="3">
        <v>1.2</v>
      </c>
      <c r="I127" s="3">
        <v>3.45</v>
      </c>
      <c r="J127">
        <v>6</v>
      </c>
      <c r="K127">
        <v>1</v>
      </c>
      <c r="L127">
        <v>0.37</v>
      </c>
      <c r="M127">
        <v>0.37930963600000001</v>
      </c>
      <c r="N127" s="3">
        <v>6.6</v>
      </c>
    </row>
    <row r="128" spans="1:14" x14ac:dyDescent="0.2">
      <c r="A128" t="s">
        <v>1049</v>
      </c>
      <c r="B128">
        <v>2016</v>
      </c>
      <c r="C128">
        <v>64</v>
      </c>
      <c r="D128">
        <v>15</v>
      </c>
      <c r="E128" s="3">
        <v>35.90399</v>
      </c>
      <c r="F128" s="3">
        <v>20.472100000000001</v>
      </c>
      <c r="G128" s="3">
        <v>15.4322</v>
      </c>
      <c r="H128" s="3">
        <v>-10.5778</v>
      </c>
      <c r="I128" s="3">
        <v>7.05</v>
      </c>
      <c r="J128">
        <v>36</v>
      </c>
      <c r="K128">
        <v>1</v>
      </c>
      <c r="L128">
        <v>0.96199999999999997</v>
      </c>
      <c r="M128">
        <v>0.98257764999999997</v>
      </c>
      <c r="N128" s="3">
        <v>-15.4322</v>
      </c>
    </row>
    <row r="129" spans="1:14" x14ac:dyDescent="0.2">
      <c r="A129" t="s">
        <v>1144</v>
      </c>
      <c r="B129">
        <v>2016</v>
      </c>
      <c r="C129">
        <v>64</v>
      </c>
      <c r="D129">
        <v>15</v>
      </c>
      <c r="E129" s="3">
        <v>34.272599999999997</v>
      </c>
      <c r="F129" s="3">
        <v>22.5931</v>
      </c>
      <c r="G129" s="3">
        <v>11.679500000000001</v>
      </c>
      <c r="H129" s="3">
        <v>4.4499000000000004</v>
      </c>
      <c r="I129" s="3">
        <v>9.7899999999999991</v>
      </c>
      <c r="J129">
        <v>39</v>
      </c>
      <c r="K129">
        <v>1</v>
      </c>
      <c r="L129">
        <v>0.96</v>
      </c>
      <c r="M129">
        <v>0.98086401000000001</v>
      </c>
      <c r="N129" s="3">
        <v>-11.679500000000001</v>
      </c>
    </row>
    <row r="130" spans="1:14" x14ac:dyDescent="0.2">
      <c r="A130" t="s">
        <v>1036</v>
      </c>
      <c r="B130">
        <v>2016</v>
      </c>
      <c r="C130">
        <v>64</v>
      </c>
      <c r="D130">
        <v>15</v>
      </c>
      <c r="E130" s="3">
        <v>34.90334</v>
      </c>
      <c r="F130" s="3">
        <v>16.373999999999999</v>
      </c>
      <c r="G130" s="3">
        <v>18.529</v>
      </c>
      <c r="H130" s="3">
        <v>-0.50439999999999996</v>
      </c>
      <c r="I130" s="3">
        <v>7.88</v>
      </c>
      <c r="J130">
        <v>26</v>
      </c>
      <c r="K130">
        <v>1</v>
      </c>
      <c r="L130">
        <v>0.97</v>
      </c>
      <c r="M130">
        <v>0.99027065999999997</v>
      </c>
      <c r="N130" s="3">
        <v>-18.529</v>
      </c>
    </row>
    <row r="131" spans="1:14" x14ac:dyDescent="0.2">
      <c r="A131" t="s">
        <v>1075</v>
      </c>
      <c r="B131">
        <v>2016</v>
      </c>
      <c r="C131">
        <v>64</v>
      </c>
      <c r="D131">
        <v>15</v>
      </c>
      <c r="E131" s="3">
        <v>29.428129999999999</v>
      </c>
      <c r="F131" s="3">
        <v>18.222000000000001</v>
      </c>
      <c r="G131" s="3">
        <v>11.206099999999999</v>
      </c>
      <c r="H131" s="3">
        <v>4.4916</v>
      </c>
      <c r="I131" s="3">
        <v>5.35</v>
      </c>
      <c r="J131">
        <v>16</v>
      </c>
      <c r="K131">
        <v>1</v>
      </c>
      <c r="L131">
        <v>0.96</v>
      </c>
      <c r="M131">
        <v>0.98468027999999996</v>
      </c>
      <c r="N131" s="3">
        <v>-11.206099999999999</v>
      </c>
    </row>
    <row r="132" spans="1:14" x14ac:dyDescent="0.2">
      <c r="A132" t="s">
        <v>1051</v>
      </c>
      <c r="B132">
        <v>2016</v>
      </c>
      <c r="C132">
        <v>64</v>
      </c>
      <c r="D132">
        <v>13</v>
      </c>
      <c r="E132" s="3">
        <v>25.74662</v>
      </c>
      <c r="F132" s="3">
        <v>19.878</v>
      </c>
      <c r="G132" s="3">
        <v>5.8692000000000002</v>
      </c>
      <c r="H132" s="3">
        <v>-1.2355</v>
      </c>
      <c r="I132" s="3">
        <v>0.65</v>
      </c>
      <c r="J132">
        <v>-9</v>
      </c>
      <c r="K132">
        <v>0</v>
      </c>
      <c r="L132">
        <v>0.92200000000000004</v>
      </c>
      <c r="M132">
        <v>0.94851909999999995</v>
      </c>
      <c r="N132" s="3">
        <v>-5.8692000000000002</v>
      </c>
    </row>
    <row r="133" spans="1:14" x14ac:dyDescent="0.2">
      <c r="A133" t="s">
        <v>1037</v>
      </c>
      <c r="B133">
        <v>2016</v>
      </c>
      <c r="C133">
        <v>64</v>
      </c>
      <c r="D133">
        <v>13</v>
      </c>
      <c r="E133" s="3">
        <v>22.535170000000001</v>
      </c>
      <c r="F133" s="3">
        <v>8.2479999999999993</v>
      </c>
      <c r="G133" s="3">
        <v>9.24</v>
      </c>
      <c r="H133" s="3">
        <v>-3.6040000000000001</v>
      </c>
      <c r="I133" s="3">
        <v>2.84</v>
      </c>
      <c r="J133">
        <v>30</v>
      </c>
      <c r="K133">
        <v>1</v>
      </c>
      <c r="L133">
        <v>0.9</v>
      </c>
      <c r="M133">
        <v>0.96293972000000005</v>
      </c>
      <c r="N133" s="3">
        <v>-9.24</v>
      </c>
    </row>
    <row r="134" spans="1:14" x14ac:dyDescent="0.2">
      <c r="A134" t="s">
        <v>1038</v>
      </c>
      <c r="B134">
        <v>2016</v>
      </c>
      <c r="C134">
        <v>64</v>
      </c>
      <c r="D134">
        <v>13</v>
      </c>
      <c r="E134" s="3">
        <v>18.350290000000001</v>
      </c>
      <c r="F134" s="3">
        <v>13.914999999999999</v>
      </c>
      <c r="G134" s="3">
        <v>4.4356999999999998</v>
      </c>
      <c r="H134" s="3">
        <v>2.2484000000000002</v>
      </c>
      <c r="I134" s="3">
        <v>7.74</v>
      </c>
      <c r="J134">
        <v>14</v>
      </c>
      <c r="K134">
        <v>1</v>
      </c>
      <c r="L134">
        <v>0.87</v>
      </c>
      <c r="M134">
        <v>0.95858319000000003</v>
      </c>
      <c r="N134" s="3">
        <v>-4.4356999999999998</v>
      </c>
    </row>
    <row r="135" spans="1:14" x14ac:dyDescent="0.2">
      <c r="A135" t="s">
        <v>1050</v>
      </c>
      <c r="B135">
        <v>2016</v>
      </c>
      <c r="C135">
        <v>64</v>
      </c>
      <c r="D135">
        <v>13</v>
      </c>
      <c r="E135" s="3">
        <v>18.968540000000001</v>
      </c>
      <c r="F135" s="3">
        <v>13.503</v>
      </c>
      <c r="G135" s="3">
        <v>5.4652000000000003</v>
      </c>
      <c r="H135" s="3">
        <v>4.9256000000000002</v>
      </c>
      <c r="I135" s="3">
        <v>0.43</v>
      </c>
      <c r="J135">
        <v>18</v>
      </c>
      <c r="K135">
        <v>1</v>
      </c>
      <c r="L135">
        <v>0.86</v>
      </c>
      <c r="M135">
        <v>0.94127340999999998</v>
      </c>
      <c r="N135" s="3">
        <v>-5.4652000000000003</v>
      </c>
    </row>
    <row r="136" spans="1:14" x14ac:dyDescent="0.2">
      <c r="A136" t="s">
        <v>1039</v>
      </c>
      <c r="B136">
        <v>2016</v>
      </c>
      <c r="C136">
        <v>64</v>
      </c>
      <c r="D136">
        <v>11</v>
      </c>
      <c r="E136" s="3">
        <v>20.136810000000001</v>
      </c>
      <c r="F136" s="3">
        <v>13.307</v>
      </c>
      <c r="G136" s="3">
        <v>6.8304999999999998</v>
      </c>
      <c r="H136" s="3">
        <v>-6.0857999999999999</v>
      </c>
      <c r="I136" s="3">
        <v>2.58</v>
      </c>
      <c r="J136">
        <v>7</v>
      </c>
      <c r="K136">
        <v>1</v>
      </c>
      <c r="L136">
        <v>0.87</v>
      </c>
      <c r="M136">
        <v>0.85764428999999998</v>
      </c>
      <c r="N136" s="3">
        <v>-6.8304999999999998</v>
      </c>
    </row>
    <row r="137" spans="1:14" x14ac:dyDescent="0.2">
      <c r="A137" t="s">
        <v>1040</v>
      </c>
      <c r="B137">
        <v>2016</v>
      </c>
      <c r="C137">
        <v>64</v>
      </c>
      <c r="D137">
        <v>11</v>
      </c>
      <c r="E137" s="3">
        <v>17.816849999999999</v>
      </c>
      <c r="F137" s="3">
        <v>5.9340000000000002</v>
      </c>
      <c r="G137" s="3">
        <v>11.8832</v>
      </c>
      <c r="H137" s="3">
        <v>-9.5731000000000002</v>
      </c>
      <c r="I137" s="3">
        <v>6.32</v>
      </c>
      <c r="J137">
        <v>27</v>
      </c>
      <c r="K137">
        <v>1</v>
      </c>
      <c r="L137">
        <v>0.83</v>
      </c>
      <c r="M137">
        <v>0.88231512999999995</v>
      </c>
      <c r="N137" s="3">
        <v>-11.8832</v>
      </c>
    </row>
    <row r="138" spans="1:14" x14ac:dyDescent="0.2">
      <c r="A138" t="s">
        <v>1053</v>
      </c>
      <c r="B138">
        <v>2016</v>
      </c>
      <c r="C138">
        <v>64</v>
      </c>
      <c r="D138">
        <v>11</v>
      </c>
      <c r="E138" s="3">
        <v>11.41428</v>
      </c>
      <c r="F138" s="3">
        <v>8.5890000000000004</v>
      </c>
      <c r="G138" s="3">
        <v>2.8249</v>
      </c>
      <c r="H138" s="3">
        <v>-3.7267999999999999</v>
      </c>
      <c r="I138" s="3">
        <v>5.7</v>
      </c>
      <c r="J138">
        <v>11</v>
      </c>
      <c r="K138">
        <v>1</v>
      </c>
      <c r="L138">
        <v>0.752</v>
      </c>
      <c r="M138">
        <v>0.87009917000000003</v>
      </c>
      <c r="N138" s="3">
        <v>-2.8249</v>
      </c>
    </row>
    <row r="139" spans="1:14" x14ac:dyDescent="0.2">
      <c r="A139" t="s">
        <v>1052</v>
      </c>
      <c r="B139">
        <v>2016</v>
      </c>
      <c r="C139">
        <v>64</v>
      </c>
      <c r="D139">
        <v>11</v>
      </c>
      <c r="E139" s="3">
        <v>11.509600000000001</v>
      </c>
      <c r="F139" s="3">
        <v>5.0510000000000002</v>
      </c>
      <c r="G139" s="3">
        <v>6.4581999999999997</v>
      </c>
      <c r="H139" s="3">
        <v>1.9429000000000001</v>
      </c>
      <c r="I139" s="3">
        <v>-0.05</v>
      </c>
      <c r="J139">
        <v>-14</v>
      </c>
      <c r="K139">
        <v>0</v>
      </c>
      <c r="L139">
        <v>0.7</v>
      </c>
      <c r="M139">
        <v>0.84810392999999995</v>
      </c>
      <c r="N139" s="3">
        <v>-6.4581999999999997</v>
      </c>
    </row>
    <row r="140" spans="1:14" x14ac:dyDescent="0.2">
      <c r="A140" t="s">
        <v>1054</v>
      </c>
      <c r="B140">
        <v>2016</v>
      </c>
      <c r="C140">
        <v>64</v>
      </c>
      <c r="D140">
        <v>9</v>
      </c>
      <c r="E140" s="3">
        <v>16.66187</v>
      </c>
      <c r="F140" s="3">
        <v>15.026999999999999</v>
      </c>
      <c r="G140" s="3">
        <v>1.6351</v>
      </c>
      <c r="H140" s="3">
        <v>3.73E-2</v>
      </c>
      <c r="I140" s="3">
        <v>4.0199999999999996</v>
      </c>
      <c r="J140">
        <v>28</v>
      </c>
      <c r="K140">
        <v>1</v>
      </c>
      <c r="L140">
        <v>0.82</v>
      </c>
      <c r="M140">
        <v>0.92530661999999997</v>
      </c>
      <c r="N140" s="3">
        <v>-1.6351</v>
      </c>
    </row>
    <row r="141" spans="1:14" x14ac:dyDescent="0.2">
      <c r="A141" t="s">
        <v>1041</v>
      </c>
      <c r="B141">
        <v>2016</v>
      </c>
      <c r="C141">
        <v>64</v>
      </c>
      <c r="D141">
        <v>9</v>
      </c>
      <c r="E141" s="3">
        <v>12.794650000000001</v>
      </c>
      <c r="F141" s="3">
        <v>11.734999999999999</v>
      </c>
      <c r="G141" s="3">
        <v>1.0591999999999999</v>
      </c>
      <c r="H141" s="3">
        <v>-2.661</v>
      </c>
      <c r="I141" s="3">
        <v>11.77</v>
      </c>
      <c r="J141">
        <v>8</v>
      </c>
      <c r="K141">
        <v>1</v>
      </c>
      <c r="L141">
        <v>0.73</v>
      </c>
      <c r="M141">
        <v>0.84597915999999995</v>
      </c>
      <c r="N141" s="3">
        <v>-1.0591999999999999</v>
      </c>
    </row>
    <row r="142" spans="1:14" x14ac:dyDescent="0.2">
      <c r="A142" t="s">
        <v>1055</v>
      </c>
      <c r="B142">
        <v>2016</v>
      </c>
      <c r="C142">
        <v>64</v>
      </c>
      <c r="D142">
        <v>9</v>
      </c>
      <c r="E142" s="3">
        <v>13.242100000000001</v>
      </c>
      <c r="F142" s="3">
        <v>10.430999999999999</v>
      </c>
      <c r="G142" s="3">
        <v>2.8104</v>
      </c>
      <c r="H142" s="3">
        <v>-0.76049999999999995</v>
      </c>
      <c r="I142" s="3">
        <v>-0.14000000000000001</v>
      </c>
      <c r="J142">
        <v>13</v>
      </c>
      <c r="K142">
        <v>1</v>
      </c>
      <c r="L142">
        <v>0.752</v>
      </c>
      <c r="M142">
        <v>0.84070228999999996</v>
      </c>
      <c r="N142" s="3">
        <v>-2.8104</v>
      </c>
    </row>
    <row r="143" spans="1:14" x14ac:dyDescent="0.2">
      <c r="A143" t="s">
        <v>1069</v>
      </c>
      <c r="B143">
        <v>2016</v>
      </c>
      <c r="C143">
        <v>64</v>
      </c>
      <c r="D143">
        <v>9</v>
      </c>
      <c r="E143" s="3">
        <v>7.9036</v>
      </c>
      <c r="F143" s="3">
        <v>4.6589999999999998</v>
      </c>
      <c r="G143" s="3">
        <v>3.2446000000000002</v>
      </c>
      <c r="H143" s="3">
        <v>-2.4988000000000001</v>
      </c>
      <c r="I143" s="3">
        <v>5.0199999999999996</v>
      </c>
      <c r="J143">
        <v>-11</v>
      </c>
      <c r="K143">
        <v>0</v>
      </c>
      <c r="L143">
        <v>0.68</v>
      </c>
      <c r="M143">
        <v>0.83441016000000001</v>
      </c>
      <c r="N143" s="3">
        <v>-3.2446000000000002</v>
      </c>
    </row>
    <row r="144" spans="1:14" x14ac:dyDescent="0.2">
      <c r="A144" t="s">
        <v>1057</v>
      </c>
      <c r="B144">
        <v>2016</v>
      </c>
      <c r="C144">
        <v>64</v>
      </c>
      <c r="D144">
        <v>7</v>
      </c>
      <c r="E144" s="3">
        <v>15.37786</v>
      </c>
      <c r="F144" s="3">
        <v>13.699</v>
      </c>
      <c r="G144" s="3">
        <v>1.6795</v>
      </c>
      <c r="H144" s="3">
        <v>1.5562</v>
      </c>
      <c r="I144" s="3">
        <v>1.1399999999999999</v>
      </c>
      <c r="J144">
        <v>25</v>
      </c>
      <c r="K144">
        <v>1</v>
      </c>
      <c r="L144">
        <v>0.82</v>
      </c>
      <c r="M144">
        <v>0.87683343000000002</v>
      </c>
      <c r="N144" s="3">
        <v>-1.6795</v>
      </c>
    </row>
    <row r="145" spans="1:14" x14ac:dyDescent="0.2">
      <c r="A145" t="s">
        <v>1056</v>
      </c>
      <c r="B145">
        <v>2016</v>
      </c>
      <c r="C145">
        <v>64</v>
      </c>
      <c r="D145">
        <v>7</v>
      </c>
      <c r="E145" s="3">
        <v>11.2674</v>
      </c>
      <c r="F145" s="3">
        <v>8.0489999999999995</v>
      </c>
      <c r="G145" s="3">
        <v>3.2183000000000002</v>
      </c>
      <c r="H145" s="3">
        <v>4.3361999999999998</v>
      </c>
      <c r="I145" s="3">
        <v>4.58</v>
      </c>
      <c r="J145">
        <v>-2</v>
      </c>
      <c r="K145">
        <v>0</v>
      </c>
      <c r="L145">
        <v>0.71399999999999997</v>
      </c>
      <c r="M145">
        <v>0.84191159999999998</v>
      </c>
      <c r="N145" s="3">
        <v>-3.2183000000000002</v>
      </c>
    </row>
    <row r="146" spans="1:14" x14ac:dyDescent="0.2">
      <c r="A146" t="s">
        <v>1042</v>
      </c>
      <c r="B146">
        <v>2016</v>
      </c>
      <c r="C146">
        <v>64</v>
      </c>
      <c r="D146">
        <v>7</v>
      </c>
      <c r="E146" s="3">
        <v>11.131779999999999</v>
      </c>
      <c r="F146" s="3">
        <v>5.468</v>
      </c>
      <c r="G146" s="3">
        <v>5.6643999999999997</v>
      </c>
      <c r="H146" s="3">
        <v>-0.99119999999999997</v>
      </c>
      <c r="I146" s="3">
        <v>1.87</v>
      </c>
      <c r="J146">
        <v>5</v>
      </c>
      <c r="K146">
        <v>1</v>
      </c>
      <c r="L146">
        <v>0.73</v>
      </c>
      <c r="M146">
        <v>0.79464228999999997</v>
      </c>
      <c r="N146" s="3">
        <v>-5.6643999999999997</v>
      </c>
    </row>
    <row r="147" spans="1:14" x14ac:dyDescent="0.2">
      <c r="A147" t="s">
        <v>1043</v>
      </c>
      <c r="B147">
        <v>2016</v>
      </c>
      <c r="C147">
        <v>64</v>
      </c>
      <c r="D147">
        <v>7</v>
      </c>
      <c r="E147" s="3">
        <v>6.0887000000000002</v>
      </c>
      <c r="F147" s="3">
        <v>9.2460000000000004</v>
      </c>
      <c r="G147" s="3">
        <v>-3.157</v>
      </c>
      <c r="H147" s="3">
        <v>0.47939999999999999</v>
      </c>
      <c r="I147" s="3">
        <v>3.96</v>
      </c>
      <c r="J147">
        <v>-4</v>
      </c>
      <c r="K147">
        <v>0</v>
      </c>
      <c r="L147">
        <v>0.6</v>
      </c>
      <c r="M147">
        <v>0.61274923999999997</v>
      </c>
      <c r="N147" s="3">
        <v>3.157</v>
      </c>
    </row>
    <row r="148" spans="1:14" x14ac:dyDescent="0.2">
      <c r="A148" t="s">
        <v>1044</v>
      </c>
      <c r="B148">
        <v>2016</v>
      </c>
      <c r="C148">
        <v>64</v>
      </c>
      <c r="D148">
        <v>5</v>
      </c>
      <c r="E148" s="3">
        <v>7.0115999999999996</v>
      </c>
      <c r="F148" s="3">
        <v>4.5229999999999997</v>
      </c>
      <c r="G148" s="3">
        <v>2.4893000000000001</v>
      </c>
      <c r="H148" s="3">
        <v>2.7669000000000001</v>
      </c>
      <c r="I148" s="3">
        <v>1.62</v>
      </c>
      <c r="J148">
        <v>-3</v>
      </c>
      <c r="K148">
        <v>0</v>
      </c>
      <c r="L148">
        <v>0.66</v>
      </c>
      <c r="M148">
        <v>0.70010916000000001</v>
      </c>
      <c r="N148" s="3">
        <v>-2.4893000000000001</v>
      </c>
    </row>
    <row r="149" spans="1:14" x14ac:dyDescent="0.2">
      <c r="A149" t="s">
        <v>1145</v>
      </c>
      <c r="B149">
        <v>2016</v>
      </c>
      <c r="C149">
        <v>64</v>
      </c>
      <c r="D149">
        <v>5</v>
      </c>
      <c r="E149" s="3">
        <v>1.4275</v>
      </c>
      <c r="F149" s="3">
        <v>4.5960000000000001</v>
      </c>
      <c r="G149" s="3">
        <v>-3.169</v>
      </c>
      <c r="H149" s="3">
        <v>-0.98040000000000005</v>
      </c>
      <c r="I149" s="3">
        <v>0.99</v>
      </c>
      <c r="J149">
        <v>7</v>
      </c>
      <c r="K149">
        <v>1</v>
      </c>
      <c r="L149">
        <v>0.54</v>
      </c>
      <c r="M149">
        <v>0.66213770000000005</v>
      </c>
      <c r="N149" s="3">
        <v>3.169</v>
      </c>
    </row>
    <row r="150" spans="1:14" x14ac:dyDescent="0.2">
      <c r="A150" t="s">
        <v>1076</v>
      </c>
      <c r="B150">
        <v>2016</v>
      </c>
      <c r="C150">
        <v>64</v>
      </c>
      <c r="D150">
        <v>5</v>
      </c>
      <c r="E150" s="3">
        <v>0.73229999999999995</v>
      </c>
      <c r="F150" s="3">
        <v>5.625</v>
      </c>
      <c r="G150" s="3">
        <v>-4.8933</v>
      </c>
      <c r="H150" s="3">
        <v>2.4689999999999999</v>
      </c>
      <c r="I150" s="3">
        <v>-7.38</v>
      </c>
      <c r="J150">
        <v>-10</v>
      </c>
      <c r="K150">
        <v>0</v>
      </c>
      <c r="L150">
        <v>0.44</v>
      </c>
      <c r="M150">
        <v>0.49548546999999998</v>
      </c>
      <c r="N150" s="3">
        <v>4.8933</v>
      </c>
    </row>
    <row r="151" spans="1:14" x14ac:dyDescent="0.2">
      <c r="A151" t="s">
        <v>1058</v>
      </c>
      <c r="B151">
        <v>2016</v>
      </c>
      <c r="C151">
        <v>64</v>
      </c>
      <c r="D151">
        <v>5</v>
      </c>
      <c r="E151" s="3">
        <v>-1.6065</v>
      </c>
      <c r="F151" s="3">
        <v>-5.0069999999999997</v>
      </c>
      <c r="G151" s="3">
        <v>3.4003000000000001</v>
      </c>
      <c r="H151" s="3">
        <v>2.2746</v>
      </c>
      <c r="I151" s="3">
        <v>-8.24</v>
      </c>
      <c r="J151">
        <v>-16</v>
      </c>
      <c r="K151">
        <v>0</v>
      </c>
      <c r="L151">
        <v>0.51400000000000001</v>
      </c>
      <c r="M151">
        <v>0.39818101</v>
      </c>
      <c r="N151" s="3">
        <v>-3.4003000000000001</v>
      </c>
    </row>
    <row r="152" spans="1:14" x14ac:dyDescent="0.2">
      <c r="A152" t="s">
        <v>1045</v>
      </c>
      <c r="B152">
        <v>2016</v>
      </c>
      <c r="C152">
        <v>64</v>
      </c>
      <c r="D152">
        <v>3</v>
      </c>
      <c r="E152" s="3">
        <v>13.00845</v>
      </c>
      <c r="F152" s="3">
        <v>9.6790000000000003</v>
      </c>
      <c r="G152" s="3">
        <v>3.3290999999999999</v>
      </c>
      <c r="H152" s="3">
        <v>2.8268</v>
      </c>
      <c r="I152" s="3">
        <v>-1.2</v>
      </c>
      <c r="J152">
        <v>2</v>
      </c>
      <c r="K152">
        <v>1</v>
      </c>
      <c r="L152">
        <v>0.77</v>
      </c>
      <c r="M152">
        <v>0.72194020999999997</v>
      </c>
      <c r="N152" s="3">
        <v>-3.3290999999999999</v>
      </c>
    </row>
    <row r="153" spans="1:14" x14ac:dyDescent="0.2">
      <c r="A153" t="s">
        <v>1060</v>
      </c>
      <c r="B153">
        <v>2016</v>
      </c>
      <c r="C153">
        <v>64</v>
      </c>
      <c r="D153">
        <v>3</v>
      </c>
      <c r="E153" s="3">
        <v>0.1638</v>
      </c>
      <c r="F153" s="3">
        <v>-3.7149999999999999</v>
      </c>
      <c r="G153" s="3">
        <v>3.8788999999999998</v>
      </c>
      <c r="H153" s="3">
        <v>-2.2936999999999999</v>
      </c>
      <c r="I153" s="3">
        <v>7.52</v>
      </c>
      <c r="J153">
        <v>4</v>
      </c>
      <c r="K153">
        <v>1</v>
      </c>
      <c r="L153">
        <v>0.56000000000000005</v>
      </c>
      <c r="M153">
        <v>0.62883546999999995</v>
      </c>
      <c r="N153" s="3">
        <v>-3.8788999999999998</v>
      </c>
    </row>
    <row r="154" spans="1:14" x14ac:dyDescent="0.2">
      <c r="A154" t="s">
        <v>1061</v>
      </c>
      <c r="B154">
        <v>2016</v>
      </c>
      <c r="C154">
        <v>64</v>
      </c>
      <c r="D154">
        <v>3</v>
      </c>
      <c r="E154" s="3">
        <v>-2.5066999999999999</v>
      </c>
      <c r="F154" s="3">
        <v>-4.423</v>
      </c>
      <c r="G154" s="3">
        <v>1.9162999999999999</v>
      </c>
      <c r="H154" s="3">
        <v>2.9464999999999999</v>
      </c>
      <c r="I154" s="3">
        <v>4.22</v>
      </c>
      <c r="J154">
        <v>-19</v>
      </c>
      <c r="K154">
        <v>0</v>
      </c>
      <c r="L154">
        <v>0.45300000000000001</v>
      </c>
      <c r="M154">
        <v>0.52355784000000005</v>
      </c>
      <c r="N154" s="3">
        <v>-1.9162999999999999</v>
      </c>
    </row>
    <row r="155" spans="1:14" x14ac:dyDescent="0.2">
      <c r="A155" t="s">
        <v>1046</v>
      </c>
      <c r="B155">
        <v>2016</v>
      </c>
      <c r="C155">
        <v>64</v>
      </c>
      <c r="D155">
        <v>3</v>
      </c>
      <c r="E155" s="3">
        <v>-3.7780999999999998</v>
      </c>
      <c r="F155" s="3">
        <v>-0.14799999999999999</v>
      </c>
      <c r="G155" s="3">
        <v>-3.6301999999999999</v>
      </c>
      <c r="H155" s="3">
        <v>-2.3046000000000002</v>
      </c>
      <c r="I155" s="3">
        <v>-0.75</v>
      </c>
      <c r="J155">
        <v>-8</v>
      </c>
      <c r="K155">
        <v>0</v>
      </c>
      <c r="L155">
        <v>0.41</v>
      </c>
      <c r="M155">
        <v>0.26556296000000001</v>
      </c>
      <c r="N155" s="3">
        <v>3.6301999999999999</v>
      </c>
    </row>
    <row r="156" spans="1:14" x14ac:dyDescent="0.2">
      <c r="A156" t="s">
        <v>1062</v>
      </c>
      <c r="B156">
        <v>2016</v>
      </c>
      <c r="C156">
        <v>64</v>
      </c>
      <c r="D156">
        <v>1</v>
      </c>
      <c r="E156" s="3">
        <v>1.1916</v>
      </c>
      <c r="F156" s="3">
        <v>4.58</v>
      </c>
      <c r="G156" s="3">
        <v>-3.3885000000000001</v>
      </c>
      <c r="H156" s="3">
        <v>2.7010999999999998</v>
      </c>
      <c r="I156" s="3">
        <v>2.16</v>
      </c>
      <c r="J156">
        <v>-1</v>
      </c>
      <c r="K156">
        <v>0</v>
      </c>
      <c r="L156">
        <v>0.49</v>
      </c>
      <c r="M156">
        <v>0.37799128999999998</v>
      </c>
      <c r="N156" s="3">
        <v>3.3885000000000001</v>
      </c>
    </row>
    <row r="157" spans="1:14" x14ac:dyDescent="0.2">
      <c r="A157" t="s">
        <v>1063</v>
      </c>
      <c r="B157">
        <v>2016</v>
      </c>
      <c r="C157">
        <v>64</v>
      </c>
      <c r="D157">
        <v>1</v>
      </c>
      <c r="E157" s="3">
        <v>-1.1253</v>
      </c>
      <c r="F157" s="3">
        <v>-3.472</v>
      </c>
      <c r="G157" s="3">
        <v>2.3468</v>
      </c>
      <c r="H157" s="3">
        <v>-1.7297</v>
      </c>
      <c r="I157" s="3">
        <v>4.9400000000000004</v>
      </c>
      <c r="J157">
        <v>-10</v>
      </c>
      <c r="K157">
        <v>0</v>
      </c>
      <c r="L157">
        <v>0.495</v>
      </c>
      <c r="M157">
        <v>0.33060550999999999</v>
      </c>
      <c r="N157" s="3">
        <v>-2.3468</v>
      </c>
    </row>
    <row r="158" spans="1:14" x14ac:dyDescent="0.2">
      <c r="A158" t="s">
        <v>1048</v>
      </c>
      <c r="B158">
        <v>2016</v>
      </c>
      <c r="C158">
        <v>64</v>
      </c>
      <c r="D158">
        <v>1</v>
      </c>
      <c r="E158" s="3">
        <v>-2.5234999999999999</v>
      </c>
      <c r="F158" s="3">
        <v>3.4</v>
      </c>
      <c r="G158" s="3">
        <v>-5.9233000000000002</v>
      </c>
      <c r="H158" s="3">
        <v>6.1970000000000001</v>
      </c>
      <c r="I158" s="3">
        <v>2.5</v>
      </c>
      <c r="J158">
        <v>2</v>
      </c>
      <c r="K158">
        <v>1</v>
      </c>
      <c r="L158">
        <v>0.45</v>
      </c>
      <c r="M158">
        <v>0.39351391000000002</v>
      </c>
      <c r="N158" s="3">
        <v>5.9233000000000002</v>
      </c>
    </row>
    <row r="159" spans="1:14" x14ac:dyDescent="0.2">
      <c r="A159" t="s">
        <v>1047</v>
      </c>
      <c r="B159">
        <v>2016</v>
      </c>
      <c r="C159">
        <v>64</v>
      </c>
      <c r="D159">
        <v>1</v>
      </c>
      <c r="E159" s="3">
        <v>-5.1615000000000002</v>
      </c>
      <c r="F159" s="3">
        <v>-2.8660000000000001</v>
      </c>
      <c r="G159" s="3">
        <v>-2.2957999999999998</v>
      </c>
      <c r="H159" s="3">
        <v>3.2126000000000001</v>
      </c>
      <c r="I159" s="3">
        <v>-2.56</v>
      </c>
      <c r="J159">
        <v>-7</v>
      </c>
      <c r="K159">
        <v>0</v>
      </c>
      <c r="L159">
        <v>0.36</v>
      </c>
      <c r="M159">
        <v>0.36337233000000002</v>
      </c>
      <c r="N159" s="3">
        <v>2.2957999999999998</v>
      </c>
    </row>
    <row r="160" spans="1:14" x14ac:dyDescent="0.2">
      <c r="A160" t="s">
        <v>1161</v>
      </c>
      <c r="B160">
        <v>2016</v>
      </c>
      <c r="C160">
        <v>32</v>
      </c>
      <c r="D160">
        <v>8</v>
      </c>
      <c r="E160" s="3">
        <v>14.07</v>
      </c>
      <c r="F160" s="3">
        <v>11.6</v>
      </c>
      <c r="G160" s="3">
        <v>2.5</v>
      </c>
      <c r="H160" s="3">
        <v>2.8</v>
      </c>
      <c r="I160" s="3">
        <v>5.5</v>
      </c>
      <c r="J160">
        <v>19</v>
      </c>
      <c r="K160">
        <v>1</v>
      </c>
      <c r="L160">
        <v>0.84</v>
      </c>
      <c r="M160">
        <v>0.91738812999999997</v>
      </c>
      <c r="N160" s="3">
        <v>-2.5</v>
      </c>
    </row>
    <row r="161" spans="1:14" x14ac:dyDescent="0.2">
      <c r="A161" t="s">
        <v>1157</v>
      </c>
      <c r="B161">
        <v>2016</v>
      </c>
      <c r="C161">
        <v>32</v>
      </c>
      <c r="D161">
        <v>8</v>
      </c>
      <c r="E161" s="3">
        <v>12.98</v>
      </c>
      <c r="F161" s="3">
        <v>3.2</v>
      </c>
      <c r="G161" s="3">
        <v>9.6999999999999993</v>
      </c>
      <c r="H161" s="3">
        <v>-7.2</v>
      </c>
      <c r="I161" s="3">
        <v>7.74</v>
      </c>
      <c r="J161">
        <v>8</v>
      </c>
      <c r="K161">
        <v>1</v>
      </c>
      <c r="L161">
        <v>0.8</v>
      </c>
      <c r="M161">
        <v>0.79460235999999995</v>
      </c>
      <c r="N161" s="3">
        <v>-9.6999999999999993</v>
      </c>
    </row>
    <row r="162" spans="1:14" x14ac:dyDescent="0.2">
      <c r="A162" t="s">
        <v>1152</v>
      </c>
      <c r="B162">
        <v>2016</v>
      </c>
      <c r="C162">
        <v>32</v>
      </c>
      <c r="D162">
        <v>8</v>
      </c>
      <c r="E162" s="3">
        <v>11.29</v>
      </c>
      <c r="F162" s="3">
        <v>5</v>
      </c>
      <c r="G162" s="3">
        <v>6.3</v>
      </c>
      <c r="H162" s="3">
        <v>4</v>
      </c>
      <c r="I162" s="3">
        <v>0.03</v>
      </c>
      <c r="J162">
        <v>4</v>
      </c>
      <c r="K162">
        <v>1</v>
      </c>
      <c r="L162">
        <v>0.75</v>
      </c>
      <c r="M162">
        <v>0.75595612000000001</v>
      </c>
      <c r="N162" s="3">
        <v>-6.3</v>
      </c>
    </row>
    <row r="163" spans="1:14" x14ac:dyDescent="0.2">
      <c r="A163" t="s">
        <v>1146</v>
      </c>
      <c r="B163">
        <v>2016</v>
      </c>
      <c r="C163">
        <v>32</v>
      </c>
      <c r="D163">
        <v>8</v>
      </c>
      <c r="E163" s="3">
        <v>10.4</v>
      </c>
      <c r="F163" s="3">
        <v>8.6</v>
      </c>
      <c r="G163" s="3">
        <v>1.9</v>
      </c>
      <c r="H163" s="3">
        <v>3.1</v>
      </c>
      <c r="I163" s="3">
        <v>4.13</v>
      </c>
      <c r="J163">
        <v>12</v>
      </c>
      <c r="K163">
        <v>1</v>
      </c>
      <c r="L163">
        <v>0.73</v>
      </c>
      <c r="M163">
        <v>0.85577926000000004</v>
      </c>
      <c r="N163" s="3">
        <v>-1.9</v>
      </c>
    </row>
    <row r="164" spans="1:14" x14ac:dyDescent="0.2">
      <c r="A164" t="s">
        <v>1147</v>
      </c>
      <c r="B164">
        <v>2016</v>
      </c>
      <c r="C164">
        <v>32</v>
      </c>
      <c r="D164">
        <v>8</v>
      </c>
      <c r="E164" s="3">
        <v>7.54</v>
      </c>
      <c r="F164" s="3">
        <v>7.9</v>
      </c>
      <c r="G164" s="3">
        <v>-0.3</v>
      </c>
      <c r="H164" s="3">
        <v>-3.3</v>
      </c>
      <c r="I164" s="3">
        <v>5.92</v>
      </c>
      <c r="J164">
        <v>13</v>
      </c>
      <c r="K164">
        <v>1</v>
      </c>
      <c r="L164">
        <v>0.63</v>
      </c>
      <c r="M164">
        <v>0.78947045999999999</v>
      </c>
      <c r="N164" s="3">
        <v>0.3</v>
      </c>
    </row>
    <row r="165" spans="1:14" x14ac:dyDescent="0.2">
      <c r="A165" t="s">
        <v>1158</v>
      </c>
      <c r="B165">
        <v>2016</v>
      </c>
      <c r="C165">
        <v>32</v>
      </c>
      <c r="D165">
        <v>8</v>
      </c>
      <c r="E165" s="3">
        <v>6.6</v>
      </c>
      <c r="F165" s="3">
        <v>11.5</v>
      </c>
      <c r="G165" s="3">
        <v>-4.8</v>
      </c>
      <c r="H165" s="3">
        <v>7.7</v>
      </c>
      <c r="I165" s="3">
        <v>8.02</v>
      </c>
      <c r="J165">
        <v>17</v>
      </c>
      <c r="K165">
        <v>1</v>
      </c>
      <c r="L165">
        <v>0.64</v>
      </c>
      <c r="M165">
        <v>0.77479036999999995</v>
      </c>
      <c r="N165" s="3">
        <v>4.8</v>
      </c>
    </row>
    <row r="166" spans="1:14" x14ac:dyDescent="0.2">
      <c r="A166" t="s">
        <v>1151</v>
      </c>
      <c r="B166">
        <v>2016</v>
      </c>
      <c r="C166">
        <v>32</v>
      </c>
      <c r="D166">
        <v>8</v>
      </c>
      <c r="E166" s="3">
        <v>7.75</v>
      </c>
      <c r="F166" s="3">
        <v>12</v>
      </c>
      <c r="G166" s="3">
        <v>-4.3</v>
      </c>
      <c r="H166" s="3">
        <v>1.4</v>
      </c>
      <c r="I166" s="3">
        <v>9.76</v>
      </c>
      <c r="J166">
        <v>7</v>
      </c>
      <c r="K166">
        <v>1</v>
      </c>
      <c r="L166">
        <v>0.61</v>
      </c>
      <c r="M166">
        <v>0.70701939000000003</v>
      </c>
      <c r="N166" s="3">
        <v>4.3</v>
      </c>
    </row>
    <row r="167" spans="1:14" x14ac:dyDescent="0.2">
      <c r="A167" t="s">
        <v>1153</v>
      </c>
      <c r="B167">
        <v>2016</v>
      </c>
      <c r="C167">
        <v>32</v>
      </c>
      <c r="D167">
        <v>8</v>
      </c>
      <c r="E167" s="3">
        <v>8.1300000000000008</v>
      </c>
      <c r="F167" s="3">
        <v>6.5</v>
      </c>
      <c r="G167" s="3">
        <v>1.6</v>
      </c>
      <c r="H167" s="3">
        <v>0.3</v>
      </c>
      <c r="I167" s="3">
        <v>0.18</v>
      </c>
      <c r="J167">
        <v>4</v>
      </c>
      <c r="K167">
        <v>1</v>
      </c>
      <c r="L167">
        <v>0.76</v>
      </c>
      <c r="M167">
        <v>0.83714074000000005</v>
      </c>
      <c r="N167" s="3">
        <v>-1.6</v>
      </c>
    </row>
    <row r="168" spans="1:14" x14ac:dyDescent="0.2">
      <c r="A168" t="s">
        <v>1148</v>
      </c>
      <c r="B168">
        <v>2016</v>
      </c>
      <c r="C168">
        <v>32</v>
      </c>
      <c r="D168">
        <v>8</v>
      </c>
      <c r="E168" s="3">
        <v>-0.35</v>
      </c>
      <c r="F168" s="3">
        <v>7</v>
      </c>
      <c r="G168" s="3">
        <v>-7.4</v>
      </c>
      <c r="H168" s="3">
        <v>0</v>
      </c>
      <c r="I168" s="3">
        <v>-2.4700000000000002</v>
      </c>
      <c r="J168">
        <v>8</v>
      </c>
      <c r="K168">
        <v>1</v>
      </c>
      <c r="L168">
        <v>0.43</v>
      </c>
      <c r="M168">
        <v>0.40601034000000003</v>
      </c>
      <c r="N168" s="3">
        <v>7.4</v>
      </c>
    </row>
    <row r="169" spans="1:14" x14ac:dyDescent="0.2">
      <c r="A169" t="s">
        <v>1155</v>
      </c>
      <c r="B169">
        <v>2016</v>
      </c>
      <c r="C169">
        <v>32</v>
      </c>
      <c r="D169">
        <v>8</v>
      </c>
      <c r="E169" s="3">
        <v>0.69</v>
      </c>
      <c r="F169" s="3">
        <v>8.4</v>
      </c>
      <c r="G169" s="3">
        <v>-7.7</v>
      </c>
      <c r="H169" s="3">
        <v>-2.6</v>
      </c>
      <c r="I169" s="3">
        <v>-1.46</v>
      </c>
      <c r="J169">
        <v>1</v>
      </c>
      <c r="K169">
        <v>1</v>
      </c>
      <c r="L169">
        <v>0.43</v>
      </c>
      <c r="M169">
        <v>0.57302333999999999</v>
      </c>
      <c r="N169" s="3">
        <v>7.7</v>
      </c>
    </row>
    <row r="170" spans="1:14" x14ac:dyDescent="0.2">
      <c r="A170" t="s">
        <v>1159</v>
      </c>
      <c r="B170">
        <v>2016</v>
      </c>
      <c r="C170">
        <v>32</v>
      </c>
      <c r="D170">
        <v>8</v>
      </c>
      <c r="E170" s="3">
        <v>-1.9</v>
      </c>
      <c r="F170" s="3">
        <v>0.1</v>
      </c>
      <c r="G170" s="3">
        <v>-2</v>
      </c>
      <c r="H170" s="3">
        <v>-2.2000000000000002</v>
      </c>
      <c r="I170" s="3">
        <v>-2.88</v>
      </c>
      <c r="J170">
        <v>-23</v>
      </c>
      <c r="K170">
        <v>0</v>
      </c>
      <c r="L170">
        <v>0.45</v>
      </c>
      <c r="M170">
        <v>0.52341766000000001</v>
      </c>
      <c r="N170" s="3">
        <v>2</v>
      </c>
    </row>
    <row r="171" spans="1:14" x14ac:dyDescent="0.2">
      <c r="A171" t="s">
        <v>1150</v>
      </c>
      <c r="B171">
        <v>2016</v>
      </c>
      <c r="C171">
        <v>32</v>
      </c>
      <c r="D171">
        <v>7</v>
      </c>
      <c r="E171" s="3">
        <v>8.32</v>
      </c>
      <c r="F171" s="3">
        <v>5.5</v>
      </c>
      <c r="G171" s="3">
        <v>2.9</v>
      </c>
      <c r="H171" s="3">
        <v>-2.1</v>
      </c>
      <c r="I171" s="3">
        <v>-0.27</v>
      </c>
      <c r="J171">
        <v>5</v>
      </c>
      <c r="K171">
        <v>1</v>
      </c>
      <c r="L171">
        <v>0.69</v>
      </c>
      <c r="M171">
        <v>0.79991294000000002</v>
      </c>
      <c r="N171" s="3">
        <v>-2.9</v>
      </c>
    </row>
    <row r="172" spans="1:14" x14ac:dyDescent="0.2">
      <c r="A172" t="s">
        <v>1160</v>
      </c>
      <c r="B172">
        <v>2016</v>
      </c>
      <c r="C172">
        <v>32</v>
      </c>
      <c r="D172">
        <v>5</v>
      </c>
      <c r="E172" s="3">
        <v>11.4</v>
      </c>
      <c r="F172" s="3">
        <v>7.1</v>
      </c>
      <c r="G172" s="3">
        <v>4.2</v>
      </c>
      <c r="H172" s="3">
        <v>-2.8</v>
      </c>
      <c r="I172" s="3">
        <v>0.15</v>
      </c>
      <c r="J172">
        <v>25</v>
      </c>
      <c r="K172">
        <v>1</v>
      </c>
      <c r="L172">
        <v>0.73</v>
      </c>
      <c r="M172">
        <v>0.72337889</v>
      </c>
      <c r="N172" s="3">
        <v>-4.2</v>
      </c>
    </row>
    <row r="173" spans="1:14" x14ac:dyDescent="0.2">
      <c r="A173" t="s">
        <v>1156</v>
      </c>
      <c r="B173">
        <v>2016</v>
      </c>
      <c r="C173">
        <v>32</v>
      </c>
      <c r="D173">
        <v>5</v>
      </c>
      <c r="E173" s="3">
        <v>5.73</v>
      </c>
      <c r="F173" s="3">
        <v>6.4</v>
      </c>
      <c r="G173" s="3">
        <v>-0.7</v>
      </c>
      <c r="H173" s="3">
        <v>8.8000000000000007</v>
      </c>
      <c r="I173" s="3">
        <v>-1.1399999999999999</v>
      </c>
      <c r="J173">
        <v>-3</v>
      </c>
      <c r="K173">
        <v>0</v>
      </c>
      <c r="L173">
        <v>0.64</v>
      </c>
      <c r="M173">
        <v>0.61269032000000001</v>
      </c>
      <c r="N173" s="3">
        <v>0.7</v>
      </c>
    </row>
    <row r="174" spans="1:14" x14ac:dyDescent="0.2">
      <c r="A174" t="s">
        <v>1149</v>
      </c>
      <c r="B174">
        <v>2016</v>
      </c>
      <c r="C174">
        <v>32</v>
      </c>
      <c r="D174">
        <v>5</v>
      </c>
      <c r="E174" s="3">
        <v>6.7</v>
      </c>
      <c r="F174" s="3">
        <v>2.9</v>
      </c>
      <c r="G174" s="3">
        <v>3.8</v>
      </c>
      <c r="H174" s="3">
        <v>-2</v>
      </c>
      <c r="I174" s="3">
        <v>2.04</v>
      </c>
      <c r="J174">
        <v>19</v>
      </c>
      <c r="K174">
        <v>1</v>
      </c>
      <c r="L174">
        <v>0.69</v>
      </c>
      <c r="M174">
        <v>0.77877812000000002</v>
      </c>
      <c r="N174" s="3">
        <v>-3.8</v>
      </c>
    </row>
    <row r="175" spans="1:14" x14ac:dyDescent="0.2">
      <c r="A175" t="s">
        <v>1154</v>
      </c>
      <c r="B175">
        <v>2016</v>
      </c>
      <c r="C175">
        <v>32</v>
      </c>
      <c r="D175">
        <v>1</v>
      </c>
      <c r="E175" s="3">
        <v>2.64</v>
      </c>
      <c r="F175" s="3">
        <v>1</v>
      </c>
      <c r="G175" s="3">
        <v>1.6</v>
      </c>
      <c r="H175" s="3">
        <v>-0.8</v>
      </c>
      <c r="I175" s="3">
        <v>6.09</v>
      </c>
      <c r="J175">
        <v>-6</v>
      </c>
      <c r="K175">
        <v>0</v>
      </c>
      <c r="L175">
        <v>0.57999999999999996</v>
      </c>
      <c r="M175">
        <v>0.62455729000000004</v>
      </c>
      <c r="N175" s="3">
        <v>-1.6</v>
      </c>
    </row>
    <row r="176" spans="1:14" x14ac:dyDescent="0.2">
      <c r="A176" t="s">
        <v>1164</v>
      </c>
      <c r="B176">
        <v>2016</v>
      </c>
      <c r="C176">
        <v>16</v>
      </c>
      <c r="D176">
        <v>4</v>
      </c>
      <c r="E176" s="3">
        <v>8.8699999999999992</v>
      </c>
      <c r="F176" s="3">
        <v>4.0999999999999996</v>
      </c>
      <c r="G176" s="3">
        <v>4.8</v>
      </c>
      <c r="H176" s="3">
        <v>1.7</v>
      </c>
      <c r="I176" s="3">
        <v>4.78</v>
      </c>
      <c r="J176">
        <v>16</v>
      </c>
      <c r="K176">
        <v>1</v>
      </c>
      <c r="L176">
        <v>0.72699999999999998</v>
      </c>
      <c r="M176">
        <v>0.72969483000000002</v>
      </c>
      <c r="N176" s="3">
        <v>-4.8</v>
      </c>
    </row>
    <row r="177" spans="1:14" x14ac:dyDescent="0.2">
      <c r="A177" t="s">
        <v>1166</v>
      </c>
      <c r="B177">
        <v>2016</v>
      </c>
      <c r="C177">
        <v>16</v>
      </c>
      <c r="D177">
        <v>4</v>
      </c>
      <c r="E177" s="3">
        <v>4.9000000000000004</v>
      </c>
      <c r="F177" s="3">
        <v>0.3</v>
      </c>
      <c r="G177" s="3">
        <v>4.4000000000000004</v>
      </c>
      <c r="H177" s="3">
        <v>2.9</v>
      </c>
      <c r="I177" s="3">
        <v>4.97</v>
      </c>
      <c r="J177">
        <v>15</v>
      </c>
      <c r="K177">
        <v>1</v>
      </c>
      <c r="L177">
        <v>0.65800000000000003</v>
      </c>
      <c r="M177">
        <v>0.73008775000000004</v>
      </c>
      <c r="N177" s="3">
        <v>-4.4000000000000004</v>
      </c>
    </row>
    <row r="178" spans="1:14" x14ac:dyDescent="0.2">
      <c r="A178" t="s">
        <v>1168</v>
      </c>
      <c r="B178">
        <v>2016</v>
      </c>
      <c r="C178">
        <v>16</v>
      </c>
      <c r="D178">
        <v>3</v>
      </c>
      <c r="E178" s="3">
        <v>8.41</v>
      </c>
      <c r="F178" s="3">
        <v>-0.7</v>
      </c>
      <c r="G178" s="3">
        <v>8.8000000000000007</v>
      </c>
      <c r="H178" s="3">
        <v>-10.199999999999999</v>
      </c>
      <c r="I178" s="3">
        <v>2.29</v>
      </c>
      <c r="J178">
        <v>13</v>
      </c>
      <c r="K178">
        <v>1</v>
      </c>
      <c r="L178">
        <v>0.70799999999999996</v>
      </c>
      <c r="M178">
        <v>0.64717901</v>
      </c>
      <c r="N178" s="3">
        <v>-8.8000000000000007</v>
      </c>
    </row>
    <row r="179" spans="1:14" x14ac:dyDescent="0.2">
      <c r="A179" t="s">
        <v>1162</v>
      </c>
      <c r="B179">
        <v>2016</v>
      </c>
      <c r="C179">
        <v>16</v>
      </c>
      <c r="D179">
        <v>3</v>
      </c>
      <c r="E179" s="3">
        <v>0.16</v>
      </c>
      <c r="F179" s="3">
        <v>-3.3</v>
      </c>
      <c r="G179" s="3">
        <v>3.5</v>
      </c>
      <c r="H179" s="3">
        <v>0.6</v>
      </c>
      <c r="I179" s="3">
        <v>-4.09</v>
      </c>
      <c r="J179">
        <v>-14</v>
      </c>
      <c r="K179">
        <v>0</v>
      </c>
      <c r="L179">
        <v>0.54600000000000004</v>
      </c>
      <c r="M179">
        <v>0.56596292000000004</v>
      </c>
      <c r="N179" s="3">
        <v>-3.5</v>
      </c>
    </row>
    <row r="180" spans="1:14" x14ac:dyDescent="0.2">
      <c r="A180" t="s">
        <v>1165</v>
      </c>
      <c r="B180">
        <v>2016</v>
      </c>
      <c r="C180">
        <v>16</v>
      </c>
      <c r="D180">
        <v>1</v>
      </c>
      <c r="E180" s="3">
        <v>4.88</v>
      </c>
      <c r="F180" s="3">
        <v>0.9</v>
      </c>
      <c r="G180" s="3">
        <v>4.0999999999999996</v>
      </c>
      <c r="H180" s="3">
        <v>0.6</v>
      </c>
      <c r="I180" s="3">
        <v>0.24</v>
      </c>
      <c r="J180">
        <v>23</v>
      </c>
      <c r="K180">
        <v>1</v>
      </c>
      <c r="L180">
        <v>0.63400000000000001</v>
      </c>
      <c r="M180">
        <v>0.67496869000000004</v>
      </c>
      <c r="N180" s="3">
        <v>-4.0999999999999996</v>
      </c>
    </row>
    <row r="181" spans="1:14" x14ac:dyDescent="0.2">
      <c r="A181" t="s">
        <v>1163</v>
      </c>
      <c r="B181">
        <v>2016</v>
      </c>
      <c r="C181">
        <v>16</v>
      </c>
      <c r="D181">
        <v>1</v>
      </c>
      <c r="E181" s="3">
        <v>2.5</v>
      </c>
      <c r="F181" s="3">
        <v>3.8</v>
      </c>
      <c r="G181" s="3">
        <v>-1.2</v>
      </c>
      <c r="H181" s="3">
        <v>2.9</v>
      </c>
      <c r="I181" s="3">
        <v>-2.86</v>
      </c>
      <c r="J181">
        <v>14</v>
      </c>
      <c r="K181">
        <v>1</v>
      </c>
      <c r="L181">
        <v>0.56100000000000005</v>
      </c>
      <c r="M181">
        <v>0.60538521000000001</v>
      </c>
      <c r="N181" s="3">
        <v>1.2</v>
      </c>
    </row>
    <row r="182" spans="1:14" x14ac:dyDescent="0.2">
      <c r="A182" t="s">
        <v>1167</v>
      </c>
      <c r="B182">
        <v>2016</v>
      </c>
      <c r="C182">
        <v>16</v>
      </c>
      <c r="D182">
        <v>1</v>
      </c>
      <c r="E182" s="3">
        <v>-0.15</v>
      </c>
      <c r="F182" s="3">
        <v>9.5</v>
      </c>
      <c r="G182" s="3">
        <v>-9.9</v>
      </c>
      <c r="H182" s="3">
        <v>1.7</v>
      </c>
      <c r="I182" s="3">
        <v>-3.77</v>
      </c>
      <c r="J182">
        <v>5</v>
      </c>
      <c r="K182">
        <v>1</v>
      </c>
      <c r="L182">
        <v>0.48399999999999999</v>
      </c>
      <c r="M182">
        <v>0.49544658000000003</v>
      </c>
      <c r="N182" s="3">
        <v>9.9</v>
      </c>
    </row>
    <row r="183" spans="1:14" x14ac:dyDescent="0.2">
      <c r="A183" t="s">
        <v>1169</v>
      </c>
      <c r="B183">
        <v>2016</v>
      </c>
      <c r="C183">
        <v>16</v>
      </c>
      <c r="D183">
        <v>1</v>
      </c>
      <c r="E183" s="3">
        <v>-3.26</v>
      </c>
      <c r="F183" s="3">
        <v>-5.9</v>
      </c>
      <c r="G183" s="3">
        <v>0.6</v>
      </c>
      <c r="H183" s="3">
        <v>-2.6</v>
      </c>
      <c r="I183" s="3">
        <v>-5.79</v>
      </c>
      <c r="J183">
        <v>3</v>
      </c>
      <c r="K183">
        <v>1</v>
      </c>
      <c r="L183">
        <v>0.41899999999999998</v>
      </c>
      <c r="M183">
        <v>0.52782388000000002</v>
      </c>
      <c r="N183" s="3">
        <v>-0.6</v>
      </c>
    </row>
    <row r="184" spans="1:14" x14ac:dyDescent="0.2">
      <c r="A184" t="s">
        <v>1173</v>
      </c>
      <c r="B184">
        <v>2016</v>
      </c>
      <c r="C184">
        <v>8</v>
      </c>
      <c r="D184">
        <v>9</v>
      </c>
      <c r="E184" s="3">
        <v>12</v>
      </c>
      <c r="F184" s="3">
        <v>8.6</v>
      </c>
      <c r="G184" s="3">
        <v>3.4</v>
      </c>
      <c r="H184" s="3">
        <v>-3.7</v>
      </c>
      <c r="I184" s="3">
        <v>4.88</v>
      </c>
      <c r="J184">
        <v>-6</v>
      </c>
      <c r="K184">
        <v>0</v>
      </c>
      <c r="L184">
        <v>0.78</v>
      </c>
      <c r="M184">
        <v>0.69367000400000001</v>
      </c>
      <c r="N184" s="3">
        <v>-3.4</v>
      </c>
    </row>
    <row r="185" spans="1:14" x14ac:dyDescent="0.2">
      <c r="A185" t="s">
        <v>1172</v>
      </c>
      <c r="B185">
        <v>2016</v>
      </c>
      <c r="C185">
        <v>8</v>
      </c>
      <c r="D185">
        <v>5</v>
      </c>
      <c r="E185" s="3">
        <v>12.18</v>
      </c>
      <c r="F185" s="3">
        <v>2.8</v>
      </c>
      <c r="G185" s="3">
        <v>9.4</v>
      </c>
      <c r="H185" s="3">
        <v>6.2</v>
      </c>
      <c r="I185" s="3">
        <v>3.83</v>
      </c>
      <c r="J185">
        <v>14</v>
      </c>
      <c r="K185">
        <v>1</v>
      </c>
      <c r="L185">
        <v>0.79</v>
      </c>
      <c r="M185">
        <v>0.82446954900000002</v>
      </c>
      <c r="N185" s="3">
        <v>-9.4</v>
      </c>
    </row>
    <row r="186" spans="1:14" x14ac:dyDescent="0.2">
      <c r="A186" t="s">
        <v>1170</v>
      </c>
      <c r="B186">
        <v>2016</v>
      </c>
      <c r="C186">
        <v>8</v>
      </c>
      <c r="D186">
        <v>1</v>
      </c>
      <c r="E186" s="3">
        <v>0.64</v>
      </c>
      <c r="F186" s="3">
        <v>-0.7</v>
      </c>
      <c r="G186" s="3">
        <v>1.3</v>
      </c>
      <c r="H186" s="3">
        <v>2.6</v>
      </c>
      <c r="I186" s="3">
        <v>1.24</v>
      </c>
      <c r="J186">
        <v>-5</v>
      </c>
      <c r="K186">
        <v>0</v>
      </c>
      <c r="L186">
        <v>0.5</v>
      </c>
      <c r="M186">
        <v>0.58540946400000005</v>
      </c>
      <c r="N186" s="3">
        <v>-1.3</v>
      </c>
    </row>
    <row r="187" spans="1:14" x14ac:dyDescent="0.2">
      <c r="A187" t="s">
        <v>1171</v>
      </c>
      <c r="B187">
        <v>2016</v>
      </c>
      <c r="C187">
        <v>8</v>
      </c>
      <c r="D187">
        <v>1</v>
      </c>
      <c r="E187" s="3">
        <v>-1.7</v>
      </c>
      <c r="F187" s="3">
        <v>1.1000000000000001</v>
      </c>
      <c r="G187" s="3">
        <v>-2.9</v>
      </c>
      <c r="H187" s="3">
        <v>-1.8</v>
      </c>
      <c r="I187" s="3">
        <v>-0.31</v>
      </c>
      <c r="J187">
        <v>-12</v>
      </c>
      <c r="K187">
        <v>0</v>
      </c>
      <c r="L187">
        <v>0.47</v>
      </c>
      <c r="M187">
        <v>0.458513332</v>
      </c>
      <c r="N187" s="3">
        <v>2.9</v>
      </c>
    </row>
    <row r="188" spans="1:14" x14ac:dyDescent="0.2">
      <c r="A188" t="s">
        <v>1174</v>
      </c>
      <c r="B188">
        <v>2016</v>
      </c>
      <c r="C188">
        <v>4</v>
      </c>
      <c r="D188">
        <v>9</v>
      </c>
      <c r="E188" s="3">
        <v>10.48</v>
      </c>
      <c r="F188" s="3">
        <v>11.1</v>
      </c>
      <c r="G188" s="3">
        <v>-0.6</v>
      </c>
      <c r="H188" s="3">
        <v>5.7</v>
      </c>
      <c r="I188" s="3">
        <v>3.16</v>
      </c>
      <c r="J188">
        <v>17</v>
      </c>
      <c r="K188">
        <v>1</v>
      </c>
      <c r="L188">
        <v>0.74</v>
      </c>
      <c r="M188">
        <v>0.70279002499999998</v>
      </c>
      <c r="N188" s="3">
        <v>0.6</v>
      </c>
    </row>
    <row r="189" spans="1:14" x14ac:dyDescent="0.2">
      <c r="A189" t="s">
        <v>1326</v>
      </c>
      <c r="B189">
        <v>2016</v>
      </c>
      <c r="C189">
        <v>4</v>
      </c>
      <c r="D189">
        <v>0</v>
      </c>
      <c r="E189" s="3">
        <v>-4.1900000000000004</v>
      </c>
      <c r="F189" s="3">
        <v>-2.5</v>
      </c>
      <c r="G189" s="3">
        <v>-1.7</v>
      </c>
      <c r="H189" s="3">
        <v>3.6</v>
      </c>
      <c r="I189" s="3">
        <v>-1.64</v>
      </c>
      <c r="J189">
        <v>-44</v>
      </c>
      <c r="K189">
        <v>0</v>
      </c>
      <c r="L189">
        <v>0.62</v>
      </c>
      <c r="M189">
        <v>0.54308116900000003</v>
      </c>
      <c r="N189" s="3">
        <v>1.7</v>
      </c>
    </row>
    <row r="190" spans="1:14" x14ac:dyDescent="0.2">
      <c r="A190" t="s">
        <v>1175</v>
      </c>
      <c r="B190">
        <v>2016</v>
      </c>
      <c r="C190">
        <v>2</v>
      </c>
      <c r="D190">
        <v>1</v>
      </c>
      <c r="E190" s="3">
        <v>-1.99</v>
      </c>
      <c r="F190" s="3">
        <v>1.8</v>
      </c>
      <c r="G190" s="3">
        <v>-3.8</v>
      </c>
      <c r="H190" s="3">
        <v>4.5</v>
      </c>
      <c r="I190" s="3">
        <v>-0.17</v>
      </c>
      <c r="J190">
        <v>-3</v>
      </c>
      <c r="K190">
        <v>0</v>
      </c>
      <c r="L190">
        <v>0.44</v>
      </c>
      <c r="M190">
        <v>0.53835937</v>
      </c>
      <c r="N190" s="3">
        <v>3.8</v>
      </c>
    </row>
    <row r="191" spans="1:14" x14ac:dyDescent="0.2">
      <c r="A191" t="s">
        <v>1002</v>
      </c>
      <c r="B191">
        <v>2015</v>
      </c>
      <c r="C191">
        <v>64</v>
      </c>
      <c r="D191">
        <v>15</v>
      </c>
      <c r="E191" s="3">
        <v>45.944659999999999</v>
      </c>
      <c r="F191" s="3">
        <v>25.2302</v>
      </c>
      <c r="G191" s="3">
        <v>20.714300000000001</v>
      </c>
      <c r="H191" s="3">
        <v>-6.665</v>
      </c>
      <c r="I191" s="3">
        <v>10.64</v>
      </c>
      <c r="J191">
        <v>23</v>
      </c>
      <c r="K191">
        <v>1</v>
      </c>
      <c r="L191">
        <v>0.99</v>
      </c>
      <c r="M191">
        <v>0.99900098699999995</v>
      </c>
      <c r="N191" s="3">
        <v>-20.714300000000001</v>
      </c>
    </row>
    <row r="192" spans="1:14" x14ac:dyDescent="0.2">
      <c r="A192" t="s">
        <v>981</v>
      </c>
      <c r="B192">
        <v>2015</v>
      </c>
      <c r="C192">
        <v>64</v>
      </c>
      <c r="D192">
        <v>15</v>
      </c>
      <c r="E192" s="3">
        <v>31.904</v>
      </c>
      <c r="F192" s="3">
        <v>21.390999999999998</v>
      </c>
      <c r="G192" s="3">
        <v>10.512600000000001</v>
      </c>
      <c r="H192" s="3">
        <v>-5.5949999999999998</v>
      </c>
      <c r="I192" s="3">
        <v>11.4</v>
      </c>
      <c r="J192">
        <v>14</v>
      </c>
      <c r="K192">
        <v>1</v>
      </c>
      <c r="L192">
        <v>0.95599999999999996</v>
      </c>
      <c r="M192">
        <v>0.98444502099999998</v>
      </c>
      <c r="N192" s="3">
        <v>-10.512600000000001</v>
      </c>
    </row>
    <row r="193" spans="1:14" x14ac:dyDescent="0.2">
      <c r="A193" t="s">
        <v>988</v>
      </c>
      <c r="B193">
        <v>2015</v>
      </c>
      <c r="C193">
        <v>64</v>
      </c>
      <c r="D193">
        <v>15</v>
      </c>
      <c r="E193" s="3">
        <v>32.714939999999999</v>
      </c>
      <c r="F193" s="3">
        <v>9.782</v>
      </c>
      <c r="G193" s="3">
        <v>22.933700000000002</v>
      </c>
      <c r="H193" s="3">
        <v>-0.47570000000000001</v>
      </c>
      <c r="I193" s="3">
        <v>3.32</v>
      </c>
      <c r="J193">
        <v>41</v>
      </c>
      <c r="K193">
        <v>1</v>
      </c>
      <c r="L193">
        <v>0.96799999999999997</v>
      </c>
      <c r="M193">
        <v>0.98493765</v>
      </c>
      <c r="N193" s="3">
        <v>-22.933700000000002</v>
      </c>
    </row>
    <row r="194" spans="1:14" x14ac:dyDescent="0.2">
      <c r="A194" t="s">
        <v>1003</v>
      </c>
      <c r="B194">
        <v>2015</v>
      </c>
      <c r="C194">
        <v>64</v>
      </c>
      <c r="D194">
        <v>15</v>
      </c>
      <c r="E194" s="3">
        <v>30.849689999999999</v>
      </c>
      <c r="F194" s="3">
        <v>21.925999999999998</v>
      </c>
      <c r="G194" s="3">
        <v>8.9237000000000002</v>
      </c>
      <c r="H194" s="3">
        <v>0.59530000000000005</v>
      </c>
      <c r="I194" s="3">
        <v>1.74</v>
      </c>
      <c r="J194">
        <v>29</v>
      </c>
      <c r="K194">
        <v>1</v>
      </c>
      <c r="L194">
        <v>0.94</v>
      </c>
      <c r="M194">
        <v>0.98159663699999999</v>
      </c>
      <c r="N194" s="3">
        <v>-8.9237000000000002</v>
      </c>
    </row>
    <row r="195" spans="1:14" x14ac:dyDescent="0.2">
      <c r="A195" t="s">
        <v>994</v>
      </c>
      <c r="B195">
        <v>2015</v>
      </c>
      <c r="C195">
        <v>64</v>
      </c>
      <c r="D195">
        <v>13</v>
      </c>
      <c r="E195" s="3">
        <v>28.322535999999999</v>
      </c>
      <c r="F195" s="3">
        <v>19.239999999999998</v>
      </c>
      <c r="G195" s="3">
        <v>9.0831999999999997</v>
      </c>
      <c r="H195" s="3">
        <v>3.9466000000000001</v>
      </c>
      <c r="I195" s="3">
        <v>11.49</v>
      </c>
      <c r="J195">
        <v>10</v>
      </c>
      <c r="K195">
        <v>1</v>
      </c>
      <c r="L195">
        <v>0.93799999999999994</v>
      </c>
      <c r="M195">
        <v>0.97427679899999997</v>
      </c>
      <c r="N195" s="3">
        <v>-9.0831999999999997</v>
      </c>
    </row>
    <row r="196" spans="1:14" x14ac:dyDescent="0.2">
      <c r="A196" t="s">
        <v>982</v>
      </c>
      <c r="B196">
        <v>2015</v>
      </c>
      <c r="C196">
        <v>64</v>
      </c>
      <c r="D196">
        <v>13</v>
      </c>
      <c r="E196" s="3">
        <v>36.183100000000003</v>
      </c>
      <c r="F196" s="3">
        <v>15.178000000000001</v>
      </c>
      <c r="G196" s="3">
        <v>21.005700000000001</v>
      </c>
      <c r="H196" s="3">
        <v>2.6829000000000001</v>
      </c>
      <c r="I196" s="3">
        <v>-7.07</v>
      </c>
      <c r="J196">
        <v>21</v>
      </c>
      <c r="K196">
        <v>1</v>
      </c>
      <c r="L196">
        <v>0.97699999999999998</v>
      </c>
      <c r="M196">
        <v>0.99329504599999996</v>
      </c>
      <c r="N196" s="3">
        <v>-21.005700000000001</v>
      </c>
    </row>
    <row r="197" spans="1:14" x14ac:dyDescent="0.2">
      <c r="A197" t="s">
        <v>989</v>
      </c>
      <c r="B197">
        <v>2015</v>
      </c>
      <c r="C197">
        <v>64</v>
      </c>
      <c r="D197">
        <v>13</v>
      </c>
      <c r="E197" s="3">
        <v>29.393350000000002</v>
      </c>
      <c r="F197" s="3">
        <v>6.2030000000000003</v>
      </c>
      <c r="G197" s="3">
        <v>23.189800000000002</v>
      </c>
      <c r="H197" s="3">
        <v>-9.0373999999999999</v>
      </c>
      <c r="I197" s="3">
        <v>4.99</v>
      </c>
      <c r="J197">
        <v>12</v>
      </c>
      <c r="K197">
        <v>1</v>
      </c>
      <c r="L197">
        <v>0.95199999999999996</v>
      </c>
      <c r="M197">
        <v>0.96373165900000002</v>
      </c>
      <c r="N197" s="3">
        <v>-23.189800000000002</v>
      </c>
    </row>
    <row r="198" spans="1:14" x14ac:dyDescent="0.2">
      <c r="A198" t="s">
        <v>974</v>
      </c>
      <c r="B198">
        <v>2015</v>
      </c>
      <c r="C198">
        <v>64</v>
      </c>
      <c r="D198">
        <v>13</v>
      </c>
      <c r="E198" s="3">
        <v>16.736599999999999</v>
      </c>
      <c r="F198" s="3">
        <v>7.4459999999999997</v>
      </c>
      <c r="G198" s="3">
        <v>9.2904</v>
      </c>
      <c r="H198" s="3">
        <v>3.6875</v>
      </c>
      <c r="I198" s="3">
        <v>9.41</v>
      </c>
      <c r="J198">
        <v>19</v>
      </c>
      <c r="K198">
        <v>1</v>
      </c>
      <c r="L198">
        <v>0.83499999999999996</v>
      </c>
      <c r="M198">
        <v>0.88989749200000001</v>
      </c>
      <c r="N198" s="3">
        <v>-9.2904</v>
      </c>
    </row>
    <row r="199" spans="1:14" x14ac:dyDescent="0.2">
      <c r="A199" t="s">
        <v>990</v>
      </c>
      <c r="B199">
        <v>2015</v>
      </c>
      <c r="C199">
        <v>64</v>
      </c>
      <c r="D199">
        <v>11</v>
      </c>
      <c r="E199" s="3">
        <v>21.067789999999999</v>
      </c>
      <c r="F199" s="3">
        <v>5.3220000000000001</v>
      </c>
      <c r="G199" s="3">
        <v>15.7456</v>
      </c>
      <c r="H199" s="3">
        <v>6.2502000000000004</v>
      </c>
      <c r="I199" s="3">
        <v>5.0599999999999996</v>
      </c>
      <c r="J199">
        <v>9</v>
      </c>
      <c r="K199">
        <v>1</v>
      </c>
      <c r="L199">
        <v>0.89100000000000001</v>
      </c>
      <c r="M199">
        <v>0.90189781300000005</v>
      </c>
      <c r="N199" s="3">
        <v>-15.7456</v>
      </c>
    </row>
    <row r="200" spans="1:14" x14ac:dyDescent="0.2">
      <c r="A200" t="s">
        <v>995</v>
      </c>
      <c r="B200">
        <v>2015</v>
      </c>
      <c r="C200">
        <v>64</v>
      </c>
      <c r="D200">
        <v>11</v>
      </c>
      <c r="E200" s="3">
        <v>20.203209999999999</v>
      </c>
      <c r="F200" s="3">
        <v>15.581</v>
      </c>
      <c r="G200" s="3">
        <v>4.6230000000000002</v>
      </c>
      <c r="H200" s="3">
        <v>4.9082999999999997</v>
      </c>
      <c r="I200" s="3">
        <v>-4.29</v>
      </c>
      <c r="J200">
        <v>-1</v>
      </c>
      <c r="K200">
        <v>0</v>
      </c>
      <c r="L200">
        <v>0.86599999999999999</v>
      </c>
      <c r="M200">
        <v>0.90789680800000006</v>
      </c>
      <c r="N200" s="3">
        <v>-4.6230000000000002</v>
      </c>
    </row>
    <row r="201" spans="1:14" x14ac:dyDescent="0.2">
      <c r="A201" t="s">
        <v>975</v>
      </c>
      <c r="B201">
        <v>2015</v>
      </c>
      <c r="C201">
        <v>64</v>
      </c>
      <c r="D201">
        <v>11</v>
      </c>
      <c r="E201" s="3">
        <v>19.249849999999999</v>
      </c>
      <c r="F201" s="3">
        <v>16.731000000000002</v>
      </c>
      <c r="G201" s="3">
        <v>2.5190000000000001</v>
      </c>
      <c r="H201" s="3">
        <v>0.22950000000000001</v>
      </c>
      <c r="I201" s="3">
        <v>-7.1</v>
      </c>
      <c r="J201">
        <v>4</v>
      </c>
      <c r="K201">
        <v>1</v>
      </c>
      <c r="L201">
        <v>0.875</v>
      </c>
      <c r="M201">
        <v>0.89927291399999998</v>
      </c>
      <c r="N201" s="3">
        <v>-2.5190000000000001</v>
      </c>
    </row>
    <row r="202" spans="1:14" x14ac:dyDescent="0.2">
      <c r="A202" t="s">
        <v>983</v>
      </c>
      <c r="B202">
        <v>2015</v>
      </c>
      <c r="C202">
        <v>64</v>
      </c>
      <c r="D202">
        <v>11</v>
      </c>
      <c r="E202" s="3">
        <v>13.704230000000001</v>
      </c>
      <c r="F202" s="3">
        <v>6.7290000000000001</v>
      </c>
      <c r="G202" s="3">
        <v>6.9747000000000003</v>
      </c>
      <c r="H202" s="3">
        <v>-1.3003</v>
      </c>
      <c r="I202" s="3">
        <v>1.65</v>
      </c>
      <c r="J202">
        <v>-1</v>
      </c>
      <c r="K202">
        <v>0</v>
      </c>
      <c r="L202">
        <v>0.77200000000000002</v>
      </c>
      <c r="M202">
        <v>0.75845421300000004</v>
      </c>
      <c r="N202" s="3">
        <v>-6.9747000000000003</v>
      </c>
    </row>
    <row r="203" spans="1:14" x14ac:dyDescent="0.2">
      <c r="A203" t="s">
        <v>984</v>
      </c>
      <c r="B203">
        <v>2015</v>
      </c>
      <c r="C203">
        <v>64</v>
      </c>
      <c r="D203">
        <v>9</v>
      </c>
      <c r="E203" s="3">
        <v>15.054360000000001</v>
      </c>
      <c r="F203" s="3">
        <v>14.234999999999999</v>
      </c>
      <c r="G203" s="3">
        <v>0.81930000000000003</v>
      </c>
      <c r="H203" s="3">
        <v>7.8861999999999997</v>
      </c>
      <c r="I203" s="3">
        <v>9.75</v>
      </c>
      <c r="J203">
        <v>2</v>
      </c>
      <c r="K203">
        <v>1</v>
      </c>
      <c r="L203">
        <v>0.79400000000000004</v>
      </c>
      <c r="M203">
        <v>0.86086380500000004</v>
      </c>
      <c r="N203" s="3">
        <v>-0.81930000000000003</v>
      </c>
    </row>
    <row r="204" spans="1:14" x14ac:dyDescent="0.2">
      <c r="A204" t="s">
        <v>996</v>
      </c>
      <c r="B204">
        <v>2015</v>
      </c>
      <c r="C204">
        <v>64</v>
      </c>
      <c r="D204">
        <v>9</v>
      </c>
      <c r="E204" s="3">
        <v>16.602029999999999</v>
      </c>
      <c r="F204" s="3">
        <v>1.0009999999999999</v>
      </c>
      <c r="G204" s="3">
        <v>15.6</v>
      </c>
      <c r="H204" s="3">
        <v>-4.2022000000000004</v>
      </c>
      <c r="I204" s="3">
        <v>5.98</v>
      </c>
      <c r="J204">
        <v>10</v>
      </c>
      <c r="K204">
        <v>1</v>
      </c>
      <c r="L204">
        <v>0.83699999999999997</v>
      </c>
      <c r="M204">
        <v>0.77391810100000002</v>
      </c>
      <c r="N204" s="3">
        <v>-15.6</v>
      </c>
    </row>
    <row r="205" spans="1:14" x14ac:dyDescent="0.2">
      <c r="A205" t="s">
        <v>1188</v>
      </c>
      <c r="B205">
        <v>2015</v>
      </c>
      <c r="C205">
        <v>64</v>
      </c>
      <c r="D205">
        <v>9</v>
      </c>
      <c r="E205" s="3">
        <v>13.565519999999999</v>
      </c>
      <c r="F205" s="3">
        <v>2.7829999999999999</v>
      </c>
      <c r="G205" s="3">
        <v>10.783200000000001</v>
      </c>
      <c r="H205" s="3">
        <v>1.4231</v>
      </c>
      <c r="I205" s="3">
        <v>0.61</v>
      </c>
      <c r="J205">
        <v>2</v>
      </c>
      <c r="K205">
        <v>1</v>
      </c>
      <c r="L205">
        <v>0.78800000000000003</v>
      </c>
      <c r="M205">
        <v>0.74497524900000001</v>
      </c>
      <c r="N205" s="3">
        <v>-10.783200000000001</v>
      </c>
    </row>
    <row r="206" spans="1:14" x14ac:dyDescent="0.2">
      <c r="A206" t="s">
        <v>976</v>
      </c>
      <c r="B206">
        <v>2015</v>
      </c>
      <c r="C206">
        <v>64</v>
      </c>
      <c r="D206">
        <v>9</v>
      </c>
      <c r="E206" s="3">
        <v>5.2226999999999997</v>
      </c>
      <c r="F206" s="3">
        <v>4.4960000000000004</v>
      </c>
      <c r="G206" s="3">
        <v>0.72660000000000002</v>
      </c>
      <c r="H206" s="3">
        <v>1.5518000000000001</v>
      </c>
      <c r="I206" s="3">
        <v>5.27</v>
      </c>
      <c r="J206">
        <v>3</v>
      </c>
      <c r="K206">
        <v>1</v>
      </c>
      <c r="L206">
        <v>0.61599999999999999</v>
      </c>
      <c r="M206">
        <v>0.71732975700000001</v>
      </c>
      <c r="N206" s="3">
        <v>-0.72660000000000002</v>
      </c>
    </row>
    <row r="207" spans="1:14" x14ac:dyDescent="0.2">
      <c r="A207" t="s">
        <v>991</v>
      </c>
      <c r="B207">
        <v>2015</v>
      </c>
      <c r="C207">
        <v>64</v>
      </c>
      <c r="D207">
        <v>7</v>
      </c>
      <c r="E207" s="3">
        <v>14.546659999999999</v>
      </c>
      <c r="F207" s="3">
        <v>10.692</v>
      </c>
      <c r="G207" s="3">
        <v>3.8549000000000002</v>
      </c>
      <c r="H207" s="3">
        <v>-0.63400000000000001</v>
      </c>
      <c r="I207" s="3">
        <v>9.1300000000000008</v>
      </c>
      <c r="J207">
        <v>17</v>
      </c>
      <c r="K207">
        <v>1</v>
      </c>
      <c r="L207">
        <v>0.85099999999999998</v>
      </c>
      <c r="M207">
        <v>0.75268455599999995</v>
      </c>
      <c r="N207" s="3">
        <v>-3.8549000000000002</v>
      </c>
    </row>
    <row r="208" spans="1:14" x14ac:dyDescent="0.2">
      <c r="A208" t="s">
        <v>997</v>
      </c>
      <c r="B208">
        <v>2015</v>
      </c>
      <c r="C208">
        <v>64</v>
      </c>
      <c r="D208">
        <v>7</v>
      </c>
      <c r="E208" s="3">
        <v>12.892899999999999</v>
      </c>
      <c r="F208" s="3">
        <v>1.9390000000000001</v>
      </c>
      <c r="G208" s="3">
        <v>10.9541</v>
      </c>
      <c r="H208" s="3">
        <v>-4.8441999999999998</v>
      </c>
      <c r="I208" s="3">
        <v>1.1399999999999999</v>
      </c>
      <c r="J208">
        <v>7</v>
      </c>
      <c r="K208">
        <v>1</v>
      </c>
      <c r="L208">
        <v>0.73699999999999999</v>
      </c>
      <c r="M208">
        <v>0.82251322800000004</v>
      </c>
      <c r="N208" s="3">
        <v>-10.9541</v>
      </c>
    </row>
    <row r="209" spans="1:14" x14ac:dyDescent="0.2">
      <c r="A209" t="s">
        <v>985</v>
      </c>
      <c r="B209">
        <v>2015</v>
      </c>
      <c r="C209">
        <v>64</v>
      </c>
      <c r="D209">
        <v>7</v>
      </c>
      <c r="E209" s="3">
        <v>10.57888</v>
      </c>
      <c r="F209" s="3">
        <v>10.032</v>
      </c>
      <c r="G209" s="3">
        <v>0.54749999999999999</v>
      </c>
      <c r="H209" s="3">
        <v>8.5922000000000001</v>
      </c>
      <c r="I209" s="3">
        <v>-4.8499999999999996</v>
      </c>
      <c r="J209">
        <v>3</v>
      </c>
      <c r="K209">
        <v>1</v>
      </c>
      <c r="L209">
        <v>0.73299999999999998</v>
      </c>
      <c r="M209">
        <v>0.76094135699999998</v>
      </c>
      <c r="N209" s="3">
        <v>-0.54749999999999999</v>
      </c>
    </row>
    <row r="210" spans="1:14" x14ac:dyDescent="0.2">
      <c r="A210" t="s">
        <v>977</v>
      </c>
      <c r="B210">
        <v>2015</v>
      </c>
      <c r="C210">
        <v>64</v>
      </c>
      <c r="D210">
        <v>7</v>
      </c>
      <c r="E210" s="3">
        <v>6.4141000000000004</v>
      </c>
      <c r="F210" s="3">
        <v>1.9079999999999999</v>
      </c>
      <c r="G210" s="3">
        <v>4.5052000000000003</v>
      </c>
      <c r="H210" s="3">
        <v>-0.47289999999999999</v>
      </c>
      <c r="I210" s="3">
        <v>-0.24</v>
      </c>
      <c r="J210">
        <v>6</v>
      </c>
      <c r="K210">
        <v>1</v>
      </c>
      <c r="L210">
        <v>0.626</v>
      </c>
      <c r="M210">
        <v>0.68246305799999996</v>
      </c>
      <c r="N210" s="3">
        <v>-4.5052000000000003</v>
      </c>
    </row>
    <row r="211" spans="1:14" x14ac:dyDescent="0.2">
      <c r="A211" t="s">
        <v>1005</v>
      </c>
      <c r="B211">
        <v>2015</v>
      </c>
      <c r="C211">
        <v>64</v>
      </c>
      <c r="D211">
        <v>5</v>
      </c>
      <c r="E211" s="3">
        <v>4.2249999999999996</v>
      </c>
      <c r="F211" s="3">
        <v>0.71499999999999997</v>
      </c>
      <c r="G211" s="3">
        <v>3.5097</v>
      </c>
      <c r="H211" s="3">
        <v>-0.4768</v>
      </c>
      <c r="I211" s="3">
        <v>2.64</v>
      </c>
      <c r="J211">
        <v>19</v>
      </c>
      <c r="K211">
        <v>1</v>
      </c>
      <c r="L211">
        <v>0.56999999999999995</v>
      </c>
      <c r="M211">
        <v>0.56715690200000002</v>
      </c>
      <c r="N211" s="3">
        <v>-3.5097</v>
      </c>
    </row>
    <row r="212" spans="1:14" x14ac:dyDescent="0.2">
      <c r="A212" t="s">
        <v>1004</v>
      </c>
      <c r="B212">
        <v>2015</v>
      </c>
      <c r="C212">
        <v>64</v>
      </c>
      <c r="D212">
        <v>5</v>
      </c>
      <c r="E212" s="3">
        <v>3.6817000000000002</v>
      </c>
      <c r="F212" s="3">
        <v>3.9710000000000001</v>
      </c>
      <c r="G212" s="3">
        <v>-0.28989999999999999</v>
      </c>
      <c r="H212" s="3">
        <v>1.5508999999999999</v>
      </c>
      <c r="I212" s="3">
        <v>2.76</v>
      </c>
      <c r="J212">
        <v>-13</v>
      </c>
      <c r="K212">
        <v>0</v>
      </c>
      <c r="L212">
        <v>0.59</v>
      </c>
      <c r="M212">
        <v>0.51361263499999998</v>
      </c>
      <c r="N212" s="3">
        <v>0.28989999999999999</v>
      </c>
    </row>
    <row r="213" spans="1:14" x14ac:dyDescent="0.2">
      <c r="A213" t="s">
        <v>998</v>
      </c>
      <c r="B213">
        <v>2015</v>
      </c>
      <c r="C213">
        <v>64</v>
      </c>
      <c r="D213">
        <v>5</v>
      </c>
      <c r="E213" s="3">
        <v>3.9026000000000001</v>
      </c>
      <c r="F213" s="3">
        <v>1.258</v>
      </c>
      <c r="G213" s="3">
        <v>2.6448</v>
      </c>
      <c r="H213" s="3">
        <v>-2.6511</v>
      </c>
      <c r="I213" s="3">
        <v>-1.32</v>
      </c>
      <c r="J213">
        <v>-1</v>
      </c>
      <c r="K213">
        <v>0</v>
      </c>
      <c r="L213">
        <v>0.626</v>
      </c>
      <c r="M213">
        <v>0.64286105800000004</v>
      </c>
      <c r="N213" s="3">
        <v>-2.6448</v>
      </c>
    </row>
    <row r="214" spans="1:14" x14ac:dyDescent="0.2">
      <c r="A214" t="s">
        <v>978</v>
      </c>
      <c r="B214">
        <v>2015</v>
      </c>
      <c r="C214">
        <v>64</v>
      </c>
      <c r="D214">
        <v>5</v>
      </c>
      <c r="E214" s="3">
        <v>-0.49170000000000003</v>
      </c>
      <c r="F214" s="3">
        <v>-2.323</v>
      </c>
      <c r="G214" s="3">
        <v>1.8321000000000001</v>
      </c>
      <c r="H214" s="3">
        <v>1.3163</v>
      </c>
      <c r="I214" s="3">
        <v>1.19</v>
      </c>
      <c r="J214">
        <v>8</v>
      </c>
      <c r="K214">
        <v>1</v>
      </c>
      <c r="L214">
        <v>0.47599999999999998</v>
      </c>
      <c r="M214">
        <v>0.45506186700000001</v>
      </c>
      <c r="N214" s="3">
        <v>-1.8321000000000001</v>
      </c>
    </row>
    <row r="215" spans="1:14" x14ac:dyDescent="0.2">
      <c r="A215" t="s">
        <v>979</v>
      </c>
      <c r="B215">
        <v>2015</v>
      </c>
      <c r="C215">
        <v>64</v>
      </c>
      <c r="D215">
        <v>3</v>
      </c>
      <c r="E215" s="3">
        <v>7.8480999999999996</v>
      </c>
      <c r="F215" s="3">
        <v>-4.3230000000000004</v>
      </c>
      <c r="G215" s="3">
        <v>12.1715</v>
      </c>
      <c r="H215" s="3">
        <v>-4.5934999999999997</v>
      </c>
      <c r="I215" s="3">
        <v>5.93</v>
      </c>
      <c r="J215">
        <v>5</v>
      </c>
      <c r="K215">
        <v>1</v>
      </c>
      <c r="L215">
        <v>0.73399999999999999</v>
      </c>
      <c r="M215">
        <v>0.71565252700000004</v>
      </c>
      <c r="N215" s="3">
        <v>-12.1715</v>
      </c>
    </row>
    <row r="216" spans="1:14" x14ac:dyDescent="0.2">
      <c r="A216" t="s">
        <v>992</v>
      </c>
      <c r="B216">
        <v>2015</v>
      </c>
      <c r="C216">
        <v>64</v>
      </c>
      <c r="D216">
        <v>3</v>
      </c>
      <c r="E216" s="3">
        <v>5.5275999999999996</v>
      </c>
      <c r="F216" s="3">
        <v>6.4489999999999998</v>
      </c>
      <c r="G216" s="3">
        <v>-0.92179999999999995</v>
      </c>
      <c r="H216" s="3">
        <v>-0.81559999999999999</v>
      </c>
      <c r="I216" s="3">
        <v>-1.39</v>
      </c>
      <c r="J216">
        <v>7</v>
      </c>
      <c r="K216">
        <v>1</v>
      </c>
      <c r="L216">
        <v>0.61599999999999999</v>
      </c>
      <c r="M216">
        <v>0.62245189400000001</v>
      </c>
      <c r="N216" s="3">
        <v>0.92179999999999995</v>
      </c>
    </row>
    <row r="217" spans="1:14" x14ac:dyDescent="0.2">
      <c r="A217" t="s">
        <v>999</v>
      </c>
      <c r="B217">
        <v>2015</v>
      </c>
      <c r="C217">
        <v>64</v>
      </c>
      <c r="D217">
        <v>3</v>
      </c>
      <c r="E217" s="3">
        <v>1.4321999999999999</v>
      </c>
      <c r="F217" s="3">
        <v>-7.1219999999999999</v>
      </c>
      <c r="G217" s="3">
        <v>8.5534999999999997</v>
      </c>
      <c r="H217" s="3">
        <v>-3.2124000000000001</v>
      </c>
      <c r="I217" s="3">
        <v>5.66</v>
      </c>
      <c r="J217">
        <v>31</v>
      </c>
      <c r="K217">
        <v>1</v>
      </c>
      <c r="L217">
        <v>0.55300000000000005</v>
      </c>
      <c r="M217">
        <v>0.62385988299999995</v>
      </c>
      <c r="N217" s="3">
        <v>-8.5534999999999997</v>
      </c>
    </row>
    <row r="218" spans="1:14" x14ac:dyDescent="0.2">
      <c r="A218" t="s">
        <v>986</v>
      </c>
      <c r="B218">
        <v>2015</v>
      </c>
      <c r="C218">
        <v>64</v>
      </c>
      <c r="D218">
        <v>3</v>
      </c>
      <c r="E218" s="3">
        <v>-4.4908999999999999</v>
      </c>
      <c r="F218" s="3">
        <v>-4.6920000000000002</v>
      </c>
      <c r="G218" s="3">
        <v>0.20150000000000001</v>
      </c>
      <c r="H218" s="3">
        <v>1.3346</v>
      </c>
      <c r="I218" s="3">
        <v>12.15</v>
      </c>
      <c r="J218">
        <v>-3</v>
      </c>
      <c r="K218">
        <v>0</v>
      </c>
      <c r="L218">
        <v>0.442</v>
      </c>
      <c r="M218">
        <v>0.36393196300000002</v>
      </c>
      <c r="N218" s="3">
        <v>-0.20150000000000001</v>
      </c>
    </row>
    <row r="219" spans="1:14" x14ac:dyDescent="0.2">
      <c r="A219" t="s">
        <v>993</v>
      </c>
      <c r="B219">
        <v>2015</v>
      </c>
      <c r="C219">
        <v>64</v>
      </c>
      <c r="D219">
        <v>1</v>
      </c>
      <c r="E219" s="3">
        <v>1.4197</v>
      </c>
      <c r="F219" s="3">
        <v>5.258</v>
      </c>
      <c r="G219" s="3">
        <v>-3.8380999999999998</v>
      </c>
      <c r="H219" s="3">
        <v>-5.2503000000000002</v>
      </c>
      <c r="I219" s="3">
        <v>6.05</v>
      </c>
      <c r="J219">
        <v>1</v>
      </c>
      <c r="K219">
        <v>1</v>
      </c>
      <c r="L219">
        <v>0.51900000000000002</v>
      </c>
      <c r="M219">
        <v>0.58929942300000004</v>
      </c>
      <c r="N219" s="3">
        <v>3.8380999999999998</v>
      </c>
    </row>
    <row r="220" spans="1:14" x14ac:dyDescent="0.2">
      <c r="A220" t="s">
        <v>1000</v>
      </c>
      <c r="B220">
        <v>2015</v>
      </c>
      <c r="C220">
        <v>64</v>
      </c>
      <c r="D220">
        <v>1</v>
      </c>
      <c r="E220" s="3">
        <v>1.8953</v>
      </c>
      <c r="F220" s="3">
        <v>-5.7240000000000002</v>
      </c>
      <c r="G220" s="3">
        <v>7.6189</v>
      </c>
      <c r="H220" s="3">
        <v>-6.2477999999999998</v>
      </c>
      <c r="I220" s="3">
        <v>3.07</v>
      </c>
      <c r="J220">
        <v>12</v>
      </c>
      <c r="K220">
        <v>1</v>
      </c>
      <c r="L220">
        <v>0.57499999999999996</v>
      </c>
      <c r="M220">
        <v>0.58238411199999995</v>
      </c>
      <c r="N220" s="3">
        <v>-7.6189</v>
      </c>
    </row>
    <row r="221" spans="1:14" x14ac:dyDescent="0.2">
      <c r="A221" t="s">
        <v>980</v>
      </c>
      <c r="B221">
        <v>2015</v>
      </c>
      <c r="C221">
        <v>64</v>
      </c>
      <c r="D221">
        <v>1</v>
      </c>
      <c r="E221" s="3">
        <v>0.26860000000000001</v>
      </c>
      <c r="F221" s="3">
        <v>-2.4710000000000001</v>
      </c>
      <c r="G221" s="3">
        <v>2.7391000000000001</v>
      </c>
      <c r="H221" s="3">
        <v>-4.7832999999999997</v>
      </c>
      <c r="I221" s="3">
        <v>4.5</v>
      </c>
      <c r="J221">
        <v>1</v>
      </c>
      <c r="K221">
        <v>1</v>
      </c>
      <c r="L221">
        <v>0.56599999999999995</v>
      </c>
      <c r="M221">
        <v>0.53688701999999999</v>
      </c>
      <c r="N221" s="3">
        <v>-2.7391000000000001</v>
      </c>
    </row>
    <row r="222" spans="1:14" x14ac:dyDescent="0.2">
      <c r="A222" t="s">
        <v>987</v>
      </c>
      <c r="B222">
        <v>2015</v>
      </c>
      <c r="C222">
        <v>64</v>
      </c>
      <c r="D222">
        <v>1</v>
      </c>
      <c r="E222" s="3">
        <v>-2.9944999999999999</v>
      </c>
      <c r="F222" s="3">
        <v>2.6320000000000001</v>
      </c>
      <c r="G222" s="3">
        <v>-5.6272000000000002</v>
      </c>
      <c r="H222" s="3">
        <v>3.4089999999999998</v>
      </c>
      <c r="I222" s="3">
        <v>1.59</v>
      </c>
      <c r="J222">
        <v>6</v>
      </c>
      <c r="K222">
        <v>1</v>
      </c>
      <c r="L222">
        <v>0.47199999999999998</v>
      </c>
      <c r="M222">
        <v>0.406109461</v>
      </c>
      <c r="N222" s="3">
        <v>5.6272000000000002</v>
      </c>
    </row>
    <row r="223" spans="1:14" x14ac:dyDescent="0.2">
      <c r="A223" t="s">
        <v>1017</v>
      </c>
      <c r="B223">
        <v>2015</v>
      </c>
      <c r="C223">
        <v>32</v>
      </c>
      <c r="D223">
        <v>8</v>
      </c>
      <c r="E223" s="3">
        <v>11.17</v>
      </c>
      <c r="F223" s="3">
        <v>3.4</v>
      </c>
      <c r="G223" s="3">
        <v>7.7</v>
      </c>
      <c r="H223" s="3">
        <v>0.7</v>
      </c>
      <c r="I223" s="3">
        <v>4.5</v>
      </c>
      <c r="J223">
        <v>15</v>
      </c>
      <c r="K223">
        <v>1</v>
      </c>
      <c r="L223">
        <v>0.81</v>
      </c>
      <c r="M223">
        <v>0.81320880699999998</v>
      </c>
      <c r="N223" s="3">
        <v>-7.7</v>
      </c>
    </row>
    <row r="224" spans="1:14" x14ac:dyDescent="0.2">
      <c r="A224" t="s">
        <v>1012</v>
      </c>
      <c r="B224">
        <v>2015</v>
      </c>
      <c r="C224">
        <v>32</v>
      </c>
      <c r="D224">
        <v>8</v>
      </c>
      <c r="E224" s="3">
        <v>9.06</v>
      </c>
      <c r="F224" s="3">
        <v>3.3</v>
      </c>
      <c r="G224" s="3">
        <v>5.8</v>
      </c>
      <c r="H224" s="3">
        <v>3.7</v>
      </c>
      <c r="I224" s="3">
        <v>0.27</v>
      </c>
      <c r="J224">
        <v>6</v>
      </c>
      <c r="K224">
        <v>1</v>
      </c>
      <c r="L224">
        <v>0.69</v>
      </c>
      <c r="M224">
        <v>0.62486160000000002</v>
      </c>
      <c r="N224" s="3">
        <v>-5.8</v>
      </c>
    </row>
    <row r="225" spans="1:14" x14ac:dyDescent="0.2">
      <c r="A225" t="s">
        <v>1016</v>
      </c>
      <c r="B225">
        <v>2015</v>
      </c>
      <c r="C225">
        <v>32</v>
      </c>
      <c r="D225">
        <v>8</v>
      </c>
      <c r="E225" s="3">
        <v>8.93</v>
      </c>
      <c r="F225" s="3">
        <v>5</v>
      </c>
      <c r="G225" s="3">
        <v>4</v>
      </c>
      <c r="H225" s="3">
        <v>2.7</v>
      </c>
      <c r="I225" s="3">
        <v>2.71</v>
      </c>
      <c r="J225">
        <v>8</v>
      </c>
      <c r="K225">
        <v>1</v>
      </c>
      <c r="L225">
        <v>0.67</v>
      </c>
      <c r="M225">
        <v>0.72556421100000001</v>
      </c>
      <c r="N225" s="3">
        <v>-4</v>
      </c>
    </row>
    <row r="226" spans="1:14" x14ac:dyDescent="0.2">
      <c r="A226" t="s">
        <v>1018</v>
      </c>
      <c r="B226">
        <v>2015</v>
      </c>
      <c r="C226">
        <v>32</v>
      </c>
      <c r="D226">
        <v>7</v>
      </c>
      <c r="E226" s="3">
        <v>23.03</v>
      </c>
      <c r="F226" s="3">
        <v>13</v>
      </c>
      <c r="G226" s="3">
        <v>10</v>
      </c>
      <c r="H226" s="3">
        <v>2.9</v>
      </c>
      <c r="I226" s="3">
        <v>2.36</v>
      </c>
      <c r="J226">
        <v>13</v>
      </c>
      <c r="K226">
        <v>1</v>
      </c>
      <c r="L226">
        <v>0.91</v>
      </c>
      <c r="M226">
        <v>0.935452438</v>
      </c>
      <c r="N226" s="3">
        <v>-10</v>
      </c>
    </row>
    <row r="227" spans="1:14" x14ac:dyDescent="0.2">
      <c r="A227" t="s">
        <v>1014</v>
      </c>
      <c r="B227">
        <v>2015</v>
      </c>
      <c r="C227">
        <v>32</v>
      </c>
      <c r="D227">
        <v>7</v>
      </c>
      <c r="E227" s="3">
        <v>19.760000000000002</v>
      </c>
      <c r="F227" s="3">
        <v>12.4</v>
      </c>
      <c r="G227" s="3">
        <v>7</v>
      </c>
      <c r="H227" s="3">
        <v>-8.1</v>
      </c>
      <c r="I227" s="3">
        <v>4.97</v>
      </c>
      <c r="J227">
        <v>7</v>
      </c>
      <c r="K227">
        <v>1</v>
      </c>
      <c r="L227">
        <v>0.85</v>
      </c>
      <c r="M227">
        <v>0.86897229499999995</v>
      </c>
      <c r="N227" s="3">
        <v>-7</v>
      </c>
    </row>
    <row r="228" spans="1:14" x14ac:dyDescent="0.2">
      <c r="A228" t="s">
        <v>1010</v>
      </c>
      <c r="B228">
        <v>2015</v>
      </c>
      <c r="C228">
        <v>32</v>
      </c>
      <c r="D228">
        <v>7</v>
      </c>
      <c r="E228" s="3">
        <v>16.38</v>
      </c>
      <c r="F228" s="3">
        <v>9.1</v>
      </c>
      <c r="G228" s="3">
        <v>7.3</v>
      </c>
      <c r="H228" s="3">
        <v>0.1</v>
      </c>
      <c r="I228" s="3">
        <v>-1.89</v>
      </c>
      <c r="J228">
        <v>-3</v>
      </c>
      <c r="K228">
        <v>0</v>
      </c>
      <c r="L228">
        <v>0.15</v>
      </c>
      <c r="M228">
        <v>0.87176104799999998</v>
      </c>
      <c r="N228" s="3">
        <v>-7.3</v>
      </c>
    </row>
    <row r="229" spans="1:14" x14ac:dyDescent="0.2">
      <c r="A229" t="s">
        <v>1006</v>
      </c>
      <c r="B229">
        <v>2015</v>
      </c>
      <c r="C229">
        <v>32</v>
      </c>
      <c r="D229">
        <v>7</v>
      </c>
      <c r="E229" s="3">
        <v>12.87</v>
      </c>
      <c r="F229" s="3">
        <v>19.5</v>
      </c>
      <c r="G229" s="3">
        <v>-6.6</v>
      </c>
      <c r="H229" s="3">
        <v>5.4</v>
      </c>
      <c r="I229" s="3">
        <v>-2.0499999999999998</v>
      </c>
      <c r="J229">
        <v>19</v>
      </c>
      <c r="K229">
        <v>1</v>
      </c>
      <c r="L229">
        <v>0.73</v>
      </c>
      <c r="M229">
        <v>0.84953136699999998</v>
      </c>
      <c r="N229" s="3">
        <v>6.6</v>
      </c>
    </row>
    <row r="230" spans="1:14" x14ac:dyDescent="0.2">
      <c r="A230" t="s">
        <v>1009</v>
      </c>
      <c r="B230">
        <v>2015</v>
      </c>
      <c r="C230">
        <v>32</v>
      </c>
      <c r="D230">
        <v>5</v>
      </c>
      <c r="E230" s="3">
        <v>7.88</v>
      </c>
      <c r="F230" s="3">
        <v>8</v>
      </c>
      <c r="G230" s="3">
        <v>0.1</v>
      </c>
      <c r="H230" s="3">
        <v>1.3</v>
      </c>
      <c r="I230" s="3">
        <v>3.2</v>
      </c>
      <c r="J230">
        <v>19</v>
      </c>
      <c r="K230">
        <v>1</v>
      </c>
      <c r="L230">
        <v>0.66</v>
      </c>
      <c r="M230">
        <v>0.72824003299999995</v>
      </c>
      <c r="N230" s="3">
        <v>-0.1</v>
      </c>
    </row>
    <row r="231" spans="1:14" x14ac:dyDescent="0.2">
      <c r="A231" t="s">
        <v>1013</v>
      </c>
      <c r="B231">
        <v>2015</v>
      </c>
      <c r="C231">
        <v>32</v>
      </c>
      <c r="D231">
        <v>5</v>
      </c>
      <c r="E231" s="3">
        <v>9.31</v>
      </c>
      <c r="F231" s="3">
        <v>-0.3</v>
      </c>
      <c r="G231" s="3">
        <v>9.8000000000000007</v>
      </c>
      <c r="H231" s="3">
        <v>-5.3</v>
      </c>
      <c r="I231" s="3">
        <v>1.93</v>
      </c>
      <c r="J231">
        <v>-6</v>
      </c>
      <c r="K231">
        <v>0</v>
      </c>
      <c r="L231">
        <v>0.75</v>
      </c>
      <c r="M231">
        <v>0.72091006000000002</v>
      </c>
      <c r="N231" s="3">
        <v>-9.8000000000000007</v>
      </c>
    </row>
    <row r="232" spans="1:14" x14ac:dyDescent="0.2">
      <c r="A232" t="s">
        <v>1021</v>
      </c>
      <c r="B232">
        <v>2015</v>
      </c>
      <c r="C232">
        <v>32</v>
      </c>
      <c r="D232">
        <v>5</v>
      </c>
      <c r="E232" s="3">
        <v>1.83</v>
      </c>
      <c r="F232" s="3">
        <v>-0.6</v>
      </c>
      <c r="G232" s="3">
        <v>2.4</v>
      </c>
      <c r="H232" s="3">
        <v>4.9000000000000004</v>
      </c>
      <c r="I232" s="3">
        <v>6.63</v>
      </c>
      <c r="J232">
        <v>-13</v>
      </c>
      <c r="K232">
        <v>0</v>
      </c>
      <c r="L232">
        <v>0.51</v>
      </c>
      <c r="M232">
        <v>0.56956817800000004</v>
      </c>
      <c r="N232" s="3">
        <v>-2.4</v>
      </c>
    </row>
    <row r="233" spans="1:14" x14ac:dyDescent="0.2">
      <c r="A233" t="s">
        <v>1008</v>
      </c>
      <c r="B233">
        <v>2015</v>
      </c>
      <c r="C233">
        <v>32</v>
      </c>
      <c r="D233">
        <v>3</v>
      </c>
      <c r="E233" s="3">
        <v>10.83</v>
      </c>
      <c r="F233" s="3">
        <v>7.7</v>
      </c>
      <c r="G233" s="3">
        <v>3.1</v>
      </c>
      <c r="H233" s="3">
        <v>1.1000000000000001</v>
      </c>
      <c r="I233" s="3">
        <v>-0.33</v>
      </c>
      <c r="J233">
        <v>17</v>
      </c>
      <c r="K233">
        <v>1</v>
      </c>
      <c r="L233">
        <v>0.73</v>
      </c>
      <c r="M233">
        <v>0.67507846299999996</v>
      </c>
      <c r="N233" s="3">
        <v>-3.1</v>
      </c>
    </row>
    <row r="234" spans="1:14" x14ac:dyDescent="0.2">
      <c r="A234" t="s">
        <v>1020</v>
      </c>
      <c r="B234">
        <v>2015</v>
      </c>
      <c r="C234">
        <v>32</v>
      </c>
      <c r="D234">
        <v>3</v>
      </c>
      <c r="E234" s="3">
        <v>3.11</v>
      </c>
      <c r="F234" s="3">
        <v>13.7</v>
      </c>
      <c r="G234" s="3">
        <v>-10.6</v>
      </c>
      <c r="H234" s="3">
        <v>0.2</v>
      </c>
      <c r="I234" s="3">
        <v>-9.4700000000000006</v>
      </c>
      <c r="J234">
        <v>3</v>
      </c>
      <c r="K234">
        <v>1</v>
      </c>
      <c r="L234">
        <v>0.57999999999999996</v>
      </c>
      <c r="M234">
        <v>0.59788717300000005</v>
      </c>
      <c r="N234" s="3">
        <v>10.6</v>
      </c>
    </row>
    <row r="235" spans="1:14" x14ac:dyDescent="0.2">
      <c r="A235" t="s">
        <v>1015</v>
      </c>
      <c r="B235">
        <v>2015</v>
      </c>
      <c r="C235">
        <v>32</v>
      </c>
      <c r="D235">
        <v>1</v>
      </c>
      <c r="E235" s="3">
        <v>6.42</v>
      </c>
      <c r="F235" s="3">
        <v>3.5</v>
      </c>
      <c r="G235" s="3">
        <v>3</v>
      </c>
      <c r="H235" s="3">
        <v>0</v>
      </c>
      <c r="I235" s="3">
        <v>9.6300000000000008</v>
      </c>
      <c r="J235">
        <v>9</v>
      </c>
      <c r="K235">
        <v>1</v>
      </c>
      <c r="L235">
        <v>0.62</v>
      </c>
      <c r="M235">
        <v>0.69380215899999997</v>
      </c>
      <c r="N235" s="3">
        <v>-3</v>
      </c>
    </row>
    <row r="236" spans="1:14" x14ac:dyDescent="0.2">
      <c r="A236" t="s">
        <v>1011</v>
      </c>
      <c r="B236">
        <v>2015</v>
      </c>
      <c r="C236">
        <v>32</v>
      </c>
      <c r="D236">
        <v>1</v>
      </c>
      <c r="E236" s="3">
        <v>-1.89</v>
      </c>
      <c r="F236" s="3">
        <v>-7.5</v>
      </c>
      <c r="G236" s="3">
        <v>5.7</v>
      </c>
      <c r="H236" s="3">
        <v>6.4</v>
      </c>
      <c r="I236" s="3">
        <v>-0.95</v>
      </c>
      <c r="J236">
        <v>13</v>
      </c>
      <c r="K236">
        <v>1</v>
      </c>
      <c r="L236">
        <v>0.38</v>
      </c>
      <c r="M236">
        <v>0.451679047</v>
      </c>
      <c r="N236" s="3">
        <v>-5.7</v>
      </c>
    </row>
    <row r="237" spans="1:14" x14ac:dyDescent="0.2">
      <c r="A237" t="s">
        <v>1019</v>
      </c>
      <c r="B237">
        <v>2015</v>
      </c>
      <c r="C237">
        <v>32</v>
      </c>
      <c r="D237">
        <v>1</v>
      </c>
      <c r="E237" s="3">
        <v>-2.21</v>
      </c>
      <c r="F237" s="3">
        <v>-1.7</v>
      </c>
      <c r="G237" s="3">
        <v>-0.6</v>
      </c>
      <c r="H237" s="3">
        <v>-4.0999999999999996</v>
      </c>
      <c r="I237" s="3">
        <v>1.4</v>
      </c>
      <c r="J237">
        <v>-10</v>
      </c>
      <c r="K237">
        <v>0</v>
      </c>
      <c r="L237">
        <v>0.47</v>
      </c>
      <c r="M237">
        <v>0.45269385299999998</v>
      </c>
      <c r="N237" s="3">
        <v>0.6</v>
      </c>
    </row>
    <row r="238" spans="1:14" x14ac:dyDescent="0.2">
      <c r="A238" t="s">
        <v>1007</v>
      </c>
      <c r="B238">
        <v>2015</v>
      </c>
      <c r="C238">
        <v>32</v>
      </c>
      <c r="D238">
        <v>1</v>
      </c>
      <c r="E238" s="3">
        <v>-7.31</v>
      </c>
      <c r="F238" s="3">
        <v>-2.2999999999999998</v>
      </c>
      <c r="G238" s="3">
        <v>-5.0999999999999996</v>
      </c>
      <c r="H238" s="3">
        <v>3.5</v>
      </c>
      <c r="I238" s="3">
        <v>4.47</v>
      </c>
      <c r="J238">
        <v>-11</v>
      </c>
      <c r="K238">
        <v>0</v>
      </c>
      <c r="L238">
        <v>0.33</v>
      </c>
      <c r="M238">
        <v>0.29725047799999998</v>
      </c>
      <c r="N238" s="3">
        <v>5.0999999999999996</v>
      </c>
    </row>
    <row r="239" spans="1:14" x14ac:dyDescent="0.2">
      <c r="A239" t="s">
        <v>1028</v>
      </c>
      <c r="B239">
        <v>2015</v>
      </c>
      <c r="C239">
        <v>16</v>
      </c>
      <c r="D239">
        <v>9</v>
      </c>
      <c r="E239" s="3">
        <v>13.55</v>
      </c>
      <c r="F239" s="3">
        <v>9.6</v>
      </c>
      <c r="G239" s="3">
        <v>3.9</v>
      </c>
      <c r="H239" s="3">
        <v>-0.8</v>
      </c>
      <c r="I239" s="3">
        <v>0.1</v>
      </c>
      <c r="J239">
        <v>12</v>
      </c>
      <c r="K239">
        <v>1</v>
      </c>
      <c r="L239">
        <v>0.76800000000000002</v>
      </c>
      <c r="M239">
        <v>0.75636640499999996</v>
      </c>
      <c r="N239" s="3">
        <v>-3.9</v>
      </c>
    </row>
    <row r="240" spans="1:14" x14ac:dyDescent="0.2">
      <c r="A240" t="s">
        <v>1022</v>
      </c>
      <c r="B240">
        <v>2015</v>
      </c>
      <c r="C240">
        <v>16</v>
      </c>
      <c r="D240">
        <v>4</v>
      </c>
      <c r="E240" s="3">
        <v>18.14</v>
      </c>
      <c r="F240" s="3">
        <v>8.6</v>
      </c>
      <c r="G240" s="3">
        <v>11.6</v>
      </c>
      <c r="H240" s="3">
        <v>-5.3</v>
      </c>
      <c r="I240" s="3">
        <v>7.81</v>
      </c>
      <c r="J240">
        <v>39</v>
      </c>
      <c r="K240">
        <v>1</v>
      </c>
      <c r="L240">
        <v>0.88500000000000001</v>
      </c>
      <c r="M240">
        <v>0.87324039499999995</v>
      </c>
      <c r="N240" s="3">
        <v>-11.6</v>
      </c>
    </row>
    <row r="241" spans="1:14" x14ac:dyDescent="0.2">
      <c r="A241" t="s">
        <v>1025</v>
      </c>
      <c r="B241">
        <v>2015</v>
      </c>
      <c r="C241">
        <v>16</v>
      </c>
      <c r="D241">
        <v>4</v>
      </c>
      <c r="E241" s="3">
        <v>13.35</v>
      </c>
      <c r="F241" s="3">
        <v>2.8</v>
      </c>
      <c r="G241" s="3">
        <v>10.5</v>
      </c>
      <c r="H241" s="3">
        <v>0.6</v>
      </c>
      <c r="I241" s="3">
        <v>-1.28</v>
      </c>
      <c r="J241">
        <v>8</v>
      </c>
      <c r="K241">
        <v>1</v>
      </c>
      <c r="L241">
        <v>0.83799999999999997</v>
      </c>
      <c r="M241">
        <v>0.86855503700000003</v>
      </c>
      <c r="N241" s="3">
        <v>-10.5</v>
      </c>
    </row>
    <row r="242" spans="1:14" x14ac:dyDescent="0.2">
      <c r="A242" t="s">
        <v>1029</v>
      </c>
      <c r="B242">
        <v>2015</v>
      </c>
      <c r="C242">
        <v>16</v>
      </c>
      <c r="D242">
        <v>4</v>
      </c>
      <c r="E242" s="3">
        <v>4.88</v>
      </c>
      <c r="F242" s="3">
        <v>-5</v>
      </c>
      <c r="G242" s="3">
        <v>9.8000000000000007</v>
      </c>
      <c r="H242" s="3">
        <v>0.6</v>
      </c>
      <c r="I242" s="3">
        <v>-2.84</v>
      </c>
      <c r="J242">
        <v>10</v>
      </c>
      <c r="K242">
        <v>1</v>
      </c>
      <c r="L242">
        <v>0.623</v>
      </c>
      <c r="M242">
        <v>0.552684752</v>
      </c>
      <c r="N242" s="3">
        <v>-9.8000000000000007</v>
      </c>
    </row>
    <row r="243" spans="1:14" x14ac:dyDescent="0.2">
      <c r="A243" t="s">
        <v>1026</v>
      </c>
      <c r="B243">
        <v>2015</v>
      </c>
      <c r="C243">
        <v>16</v>
      </c>
      <c r="D243">
        <v>4</v>
      </c>
      <c r="E243" s="3">
        <v>1.82</v>
      </c>
      <c r="F243" s="3">
        <v>-4</v>
      </c>
      <c r="G243" s="3">
        <v>5.6</v>
      </c>
      <c r="H243" s="3">
        <v>3.8</v>
      </c>
      <c r="I243" s="3">
        <v>0.91</v>
      </c>
      <c r="J243">
        <v>-4</v>
      </c>
      <c r="K243">
        <v>0</v>
      </c>
      <c r="L243">
        <v>0.55400000000000005</v>
      </c>
      <c r="M243">
        <v>0.45975772599999998</v>
      </c>
      <c r="N243" s="3">
        <v>-5.6</v>
      </c>
    </row>
    <row r="244" spans="1:14" x14ac:dyDescent="0.2">
      <c r="A244" t="s">
        <v>1023</v>
      </c>
      <c r="B244">
        <v>2015</v>
      </c>
      <c r="C244">
        <v>16</v>
      </c>
      <c r="D244">
        <v>4</v>
      </c>
      <c r="E244" s="3">
        <v>0.96</v>
      </c>
      <c r="F244" s="3">
        <v>8.8000000000000007</v>
      </c>
      <c r="G244" s="3">
        <v>-6.7</v>
      </c>
      <c r="H244" s="3">
        <v>1.3</v>
      </c>
      <c r="I244" s="3">
        <v>-11.52</v>
      </c>
      <c r="J244">
        <v>11</v>
      </c>
      <c r="K244">
        <v>1</v>
      </c>
      <c r="L244">
        <v>0.49199999999999999</v>
      </c>
      <c r="M244">
        <v>0.52744139800000001</v>
      </c>
      <c r="N244" s="3">
        <v>6.7</v>
      </c>
    </row>
    <row r="245" spans="1:14" x14ac:dyDescent="0.2">
      <c r="A245" t="s">
        <v>1027</v>
      </c>
      <c r="B245">
        <v>2015</v>
      </c>
      <c r="C245">
        <v>16</v>
      </c>
      <c r="D245">
        <v>4</v>
      </c>
      <c r="E245" s="3">
        <v>2.65</v>
      </c>
      <c r="F245" s="3">
        <v>7.8</v>
      </c>
      <c r="G245" s="3">
        <v>-5.0999999999999996</v>
      </c>
      <c r="H245" s="3">
        <v>5.3</v>
      </c>
      <c r="I245" s="3">
        <v>1.2</v>
      </c>
      <c r="J245">
        <v>6</v>
      </c>
      <c r="K245">
        <v>1</v>
      </c>
      <c r="L245">
        <v>0.54400000000000004</v>
      </c>
      <c r="M245">
        <v>0.65541518799999998</v>
      </c>
      <c r="N245" s="3">
        <v>5.0999999999999996</v>
      </c>
    </row>
    <row r="246" spans="1:14" x14ac:dyDescent="0.2">
      <c r="A246" t="s">
        <v>1024</v>
      </c>
      <c r="B246">
        <v>2015</v>
      </c>
      <c r="C246">
        <v>16</v>
      </c>
      <c r="D246">
        <v>3</v>
      </c>
      <c r="E246" s="3">
        <v>9.39</v>
      </c>
      <c r="F246" s="3">
        <v>9</v>
      </c>
      <c r="G246" s="3">
        <v>0.5</v>
      </c>
      <c r="H246" s="3">
        <v>-10.7</v>
      </c>
      <c r="I246" s="3">
        <v>-3.15</v>
      </c>
      <c r="J246">
        <v>7</v>
      </c>
      <c r="K246">
        <v>1</v>
      </c>
      <c r="L246">
        <v>0.72099999999999997</v>
      </c>
      <c r="M246">
        <v>0.72584192700000005</v>
      </c>
      <c r="N246" s="3">
        <v>-0.5</v>
      </c>
    </row>
    <row r="247" spans="1:14" x14ac:dyDescent="0.2">
      <c r="A247" t="s">
        <v>1032</v>
      </c>
      <c r="B247">
        <v>2015</v>
      </c>
      <c r="C247">
        <v>8</v>
      </c>
      <c r="D247">
        <v>3</v>
      </c>
      <c r="E247" s="3">
        <v>-0.55000000000000004</v>
      </c>
      <c r="F247" s="3">
        <v>-6.7</v>
      </c>
      <c r="G247" s="3">
        <v>6.2</v>
      </c>
      <c r="H247" s="3">
        <v>1.7</v>
      </c>
      <c r="I247" s="3">
        <v>-0.6</v>
      </c>
      <c r="J247">
        <v>-6</v>
      </c>
      <c r="K247">
        <v>0</v>
      </c>
      <c r="L247">
        <v>0.49</v>
      </c>
      <c r="M247">
        <v>0.41719068300000001</v>
      </c>
      <c r="N247" s="3">
        <v>-6.2</v>
      </c>
    </row>
    <row r="248" spans="1:14" x14ac:dyDescent="0.2">
      <c r="A248" t="s">
        <v>1030</v>
      </c>
      <c r="B248">
        <v>2015</v>
      </c>
      <c r="C248">
        <v>8</v>
      </c>
      <c r="D248">
        <v>2</v>
      </c>
      <c r="E248" s="3">
        <v>13.7</v>
      </c>
      <c r="F248" s="3">
        <v>-3.4</v>
      </c>
      <c r="G248" s="3">
        <v>17.100000000000001</v>
      </c>
      <c r="H248" s="3">
        <v>-1.1000000000000001</v>
      </c>
      <c r="I248" s="3">
        <v>14.18</v>
      </c>
      <c r="J248">
        <v>2</v>
      </c>
      <c r="K248">
        <v>1</v>
      </c>
      <c r="L248">
        <v>0.82</v>
      </c>
      <c r="M248">
        <v>0.86921310299999999</v>
      </c>
      <c r="N248" s="3">
        <v>-17.100000000000001</v>
      </c>
    </row>
    <row r="249" spans="1:14" x14ac:dyDescent="0.2">
      <c r="A249" t="s">
        <v>1031</v>
      </c>
      <c r="B249">
        <v>2015</v>
      </c>
      <c r="C249">
        <v>8</v>
      </c>
      <c r="D249">
        <v>1</v>
      </c>
      <c r="E249" s="3">
        <v>0.31</v>
      </c>
      <c r="F249" s="3">
        <v>8.5</v>
      </c>
      <c r="G249" s="3">
        <v>-8.3000000000000007</v>
      </c>
      <c r="H249" s="3">
        <v>-7.1</v>
      </c>
      <c r="I249" s="3">
        <v>4.25</v>
      </c>
      <c r="J249">
        <v>7</v>
      </c>
      <c r="K249">
        <v>1</v>
      </c>
      <c r="L249">
        <v>0.43</v>
      </c>
      <c r="M249">
        <v>0.398111414</v>
      </c>
      <c r="N249" s="3">
        <v>8.3000000000000007</v>
      </c>
    </row>
    <row r="250" spans="1:14" x14ac:dyDescent="0.2">
      <c r="A250" t="s">
        <v>1033</v>
      </c>
      <c r="B250">
        <v>2015</v>
      </c>
      <c r="C250">
        <v>8</v>
      </c>
      <c r="D250">
        <v>1</v>
      </c>
      <c r="E250" s="3">
        <v>1.9</v>
      </c>
      <c r="F250" s="3">
        <v>1.9</v>
      </c>
      <c r="G250" s="3">
        <v>0.2</v>
      </c>
      <c r="H250" s="3">
        <v>0.9</v>
      </c>
      <c r="I250" s="3">
        <v>-1.92</v>
      </c>
      <c r="J250">
        <v>14</v>
      </c>
      <c r="K250">
        <v>1</v>
      </c>
      <c r="L250">
        <v>0.54</v>
      </c>
      <c r="M250">
        <v>0.59047260099999999</v>
      </c>
      <c r="N250" s="3">
        <v>-0.2</v>
      </c>
    </row>
    <row r="251" spans="1:14" x14ac:dyDescent="0.2">
      <c r="A251" t="s">
        <v>1035</v>
      </c>
      <c r="B251">
        <v>2015</v>
      </c>
      <c r="C251">
        <v>4</v>
      </c>
      <c r="D251">
        <v>6</v>
      </c>
      <c r="E251" s="3">
        <v>9.17</v>
      </c>
      <c r="F251" s="3">
        <v>7.4</v>
      </c>
      <c r="G251" s="3">
        <v>1.8</v>
      </c>
      <c r="H251" s="3">
        <v>2.6</v>
      </c>
      <c r="I251" s="3">
        <v>1.94</v>
      </c>
      <c r="J251">
        <v>20</v>
      </c>
      <c r="K251">
        <v>1</v>
      </c>
      <c r="L251">
        <v>0.7</v>
      </c>
      <c r="M251">
        <v>0.66706990799999999</v>
      </c>
      <c r="N251" s="3">
        <v>-1.8</v>
      </c>
    </row>
    <row r="252" spans="1:14" x14ac:dyDescent="0.2">
      <c r="A252" t="s">
        <v>1034</v>
      </c>
      <c r="B252">
        <v>2015</v>
      </c>
      <c r="C252">
        <v>4</v>
      </c>
      <c r="D252">
        <v>0</v>
      </c>
      <c r="E252" s="3">
        <v>4.07</v>
      </c>
      <c r="F252" s="3">
        <v>-7.4</v>
      </c>
      <c r="G252" s="3">
        <v>11.5</v>
      </c>
      <c r="H252" s="3">
        <v>3.7</v>
      </c>
      <c r="I252" s="3">
        <v>0.74</v>
      </c>
      <c r="J252">
        <v>-7</v>
      </c>
      <c r="K252">
        <v>0</v>
      </c>
      <c r="L252">
        <v>0.65</v>
      </c>
      <c r="M252">
        <v>0.69315071299999997</v>
      </c>
      <c r="N252" s="3">
        <v>-11.5</v>
      </c>
    </row>
    <row r="253" spans="1:14" x14ac:dyDescent="0.2">
      <c r="A253" t="s">
        <v>1325</v>
      </c>
      <c r="B253">
        <v>2015</v>
      </c>
      <c r="C253">
        <v>2</v>
      </c>
      <c r="D253">
        <v>0</v>
      </c>
      <c r="E253" s="3">
        <v>-1.97</v>
      </c>
      <c r="F253" s="3">
        <v>-4.9000000000000004</v>
      </c>
      <c r="G253" s="3">
        <v>2.9</v>
      </c>
      <c r="H253" s="3">
        <v>7.1</v>
      </c>
      <c r="I253" s="3">
        <v>-2.87</v>
      </c>
      <c r="J253">
        <v>5</v>
      </c>
      <c r="K253">
        <v>1</v>
      </c>
      <c r="L253">
        <v>0.55000000000000004</v>
      </c>
      <c r="M253">
        <v>0.53065084799999995</v>
      </c>
      <c r="N253" s="3">
        <v>-2.9</v>
      </c>
    </row>
    <row r="254" spans="1:14" x14ac:dyDescent="0.2">
      <c r="A254" t="s">
        <v>932</v>
      </c>
      <c r="B254">
        <v>2014</v>
      </c>
      <c r="C254">
        <v>64</v>
      </c>
      <c r="D254">
        <v>15</v>
      </c>
      <c r="E254" s="3">
        <v>29.524229999999999</v>
      </c>
      <c r="F254" s="3">
        <v>14.037000000000001</v>
      </c>
      <c r="G254" s="3">
        <v>15.487399999999999</v>
      </c>
      <c r="H254" s="3">
        <v>-0.1666</v>
      </c>
      <c r="I254" s="3">
        <v>7.14</v>
      </c>
      <c r="J254">
        <v>12</v>
      </c>
      <c r="K254">
        <v>1</v>
      </c>
      <c r="L254">
        <v>0.96</v>
      </c>
      <c r="M254">
        <v>0.987703989</v>
      </c>
      <c r="N254" s="3">
        <v>-15.487399999999999</v>
      </c>
    </row>
    <row r="255" spans="1:14" x14ac:dyDescent="0.2">
      <c r="A255" t="s">
        <v>920</v>
      </c>
      <c r="B255">
        <v>2014</v>
      </c>
      <c r="C255">
        <v>64</v>
      </c>
      <c r="D255">
        <v>15</v>
      </c>
      <c r="E255" s="3">
        <v>30.886669999999999</v>
      </c>
      <c r="F255" s="3">
        <v>9.1679999999999993</v>
      </c>
      <c r="G255" s="3">
        <v>21.7196</v>
      </c>
      <c r="H255" s="3">
        <v>-8.4199999999999997E-2</v>
      </c>
      <c r="I255" s="3">
        <v>1.26</v>
      </c>
      <c r="J255">
        <v>9</v>
      </c>
      <c r="K255">
        <v>1</v>
      </c>
      <c r="L255">
        <v>0.95799999999999996</v>
      </c>
      <c r="M255">
        <v>0.97769523999999997</v>
      </c>
      <c r="N255" s="3">
        <v>-21.7196</v>
      </c>
    </row>
    <row r="256" spans="1:14" x14ac:dyDescent="0.2">
      <c r="A256" t="s">
        <v>912</v>
      </c>
      <c r="B256">
        <v>2014</v>
      </c>
      <c r="C256">
        <v>64</v>
      </c>
      <c r="D256">
        <v>15</v>
      </c>
      <c r="E256" s="3">
        <v>32.401110000000003</v>
      </c>
      <c r="F256" s="3">
        <v>16.843599999999999</v>
      </c>
      <c r="G256" s="3">
        <v>15.5572</v>
      </c>
      <c r="H256" s="3">
        <v>-6.2451999999999996</v>
      </c>
      <c r="I256" s="3">
        <v>8.09</v>
      </c>
      <c r="J256">
        <v>11</v>
      </c>
      <c r="K256">
        <v>1</v>
      </c>
      <c r="L256">
        <v>0.97</v>
      </c>
      <c r="M256">
        <v>0.96389164100000002</v>
      </c>
      <c r="N256" s="3">
        <v>-15.5572</v>
      </c>
    </row>
    <row r="257" spans="1:14" x14ac:dyDescent="0.2">
      <c r="A257" t="s">
        <v>933</v>
      </c>
      <c r="B257">
        <v>2014</v>
      </c>
      <c r="C257">
        <v>64</v>
      </c>
      <c r="D257">
        <v>15</v>
      </c>
      <c r="E257" s="3">
        <v>25.779768000000001</v>
      </c>
      <c r="F257" s="3">
        <v>13.87</v>
      </c>
      <c r="G257" s="3">
        <v>11.909000000000001</v>
      </c>
      <c r="H257" s="3">
        <v>4.7153999999999998</v>
      </c>
      <c r="I257" s="3">
        <v>-2.46</v>
      </c>
      <c r="J257">
        <v>27</v>
      </c>
      <c r="K257">
        <v>1</v>
      </c>
      <c r="L257">
        <v>0.94</v>
      </c>
      <c r="M257">
        <v>0.97545392099999995</v>
      </c>
      <c r="N257" s="3">
        <v>-11.909000000000001</v>
      </c>
    </row>
    <row r="258" spans="1:14" x14ac:dyDescent="0.2">
      <c r="A258" t="s">
        <v>911</v>
      </c>
      <c r="B258">
        <v>2014</v>
      </c>
      <c r="C258">
        <v>64</v>
      </c>
      <c r="D258">
        <v>13</v>
      </c>
      <c r="E258" s="3">
        <v>22.381170000000001</v>
      </c>
      <c r="F258" s="3">
        <v>8.6590000000000007</v>
      </c>
      <c r="G258" s="3">
        <v>13.7219</v>
      </c>
      <c r="H258" s="3">
        <v>2.2848000000000002</v>
      </c>
      <c r="I258" s="3">
        <v>16.71</v>
      </c>
      <c r="J258">
        <v>11</v>
      </c>
      <c r="K258">
        <v>1</v>
      </c>
      <c r="L258">
        <v>0.88200000000000001</v>
      </c>
      <c r="M258">
        <v>0.92402893600000002</v>
      </c>
      <c r="N258" s="3">
        <v>-13.7219</v>
      </c>
    </row>
    <row r="259" spans="1:14" x14ac:dyDescent="0.2">
      <c r="A259" t="s">
        <v>913</v>
      </c>
      <c r="B259">
        <v>2014</v>
      </c>
      <c r="C259">
        <v>64</v>
      </c>
      <c r="D259">
        <v>13</v>
      </c>
      <c r="E259" s="3">
        <v>24.8994</v>
      </c>
      <c r="F259" s="3">
        <v>12.523999999999999</v>
      </c>
      <c r="G259" s="3">
        <v>12.3751</v>
      </c>
      <c r="H259" s="3">
        <v>-0.106</v>
      </c>
      <c r="I259" s="3">
        <v>8.56</v>
      </c>
      <c r="J259">
        <v>20</v>
      </c>
      <c r="K259">
        <v>1</v>
      </c>
      <c r="L259">
        <v>0.92</v>
      </c>
      <c r="M259">
        <v>0.94719536800000004</v>
      </c>
      <c r="N259" s="3">
        <v>-12.3751</v>
      </c>
    </row>
    <row r="260" spans="1:14" x14ac:dyDescent="0.2">
      <c r="A260" t="s">
        <v>928</v>
      </c>
      <c r="B260">
        <v>2014</v>
      </c>
      <c r="C260">
        <v>64</v>
      </c>
      <c r="D260">
        <v>13</v>
      </c>
      <c r="E260" s="3">
        <v>24.79871</v>
      </c>
      <c r="F260" s="3">
        <v>21.445</v>
      </c>
      <c r="G260" s="3">
        <v>3.3534999999999999</v>
      </c>
      <c r="H260" s="3">
        <v>0.79059999999999997</v>
      </c>
      <c r="I260" s="3">
        <v>-1.17</v>
      </c>
      <c r="J260">
        <v>17</v>
      </c>
      <c r="K260">
        <v>1</v>
      </c>
      <c r="L260">
        <v>0.91300000000000003</v>
      </c>
      <c r="M260">
        <v>0.95394733899999995</v>
      </c>
      <c r="N260" s="3">
        <v>-3.3534999999999999</v>
      </c>
    </row>
    <row r="261" spans="1:14" x14ac:dyDescent="0.2">
      <c r="A261" t="s">
        <v>921</v>
      </c>
      <c r="B261">
        <v>2014</v>
      </c>
      <c r="C261">
        <v>64</v>
      </c>
      <c r="D261">
        <v>13</v>
      </c>
      <c r="E261" s="3">
        <v>17.95072</v>
      </c>
      <c r="F261" s="3">
        <v>16.753</v>
      </c>
      <c r="G261" s="3">
        <v>1.1969000000000001</v>
      </c>
      <c r="H261" s="3">
        <v>2.8725000000000001</v>
      </c>
      <c r="I261" s="3">
        <v>9.42</v>
      </c>
      <c r="J261">
        <v>40</v>
      </c>
      <c r="K261">
        <v>1</v>
      </c>
      <c r="L261">
        <v>0.82199999999999995</v>
      </c>
      <c r="M261">
        <v>0.92840522199999997</v>
      </c>
      <c r="N261" s="3">
        <v>-1.1969000000000001</v>
      </c>
    </row>
    <row r="262" spans="1:14" x14ac:dyDescent="0.2">
      <c r="A262" t="s">
        <v>922</v>
      </c>
      <c r="B262">
        <v>2014</v>
      </c>
      <c r="C262">
        <v>64</v>
      </c>
      <c r="D262">
        <v>11</v>
      </c>
      <c r="E262" s="3">
        <v>19.69943</v>
      </c>
      <c r="F262" s="3">
        <v>15.762</v>
      </c>
      <c r="G262" s="3">
        <v>3.9369999999999998</v>
      </c>
      <c r="H262" s="3">
        <v>-4.9566999999999997</v>
      </c>
      <c r="I262" s="3">
        <v>0.08</v>
      </c>
      <c r="J262">
        <v>10</v>
      </c>
      <c r="K262">
        <v>1</v>
      </c>
      <c r="L262">
        <v>0.87</v>
      </c>
      <c r="M262">
        <v>0.88305056100000001</v>
      </c>
      <c r="N262" s="3">
        <v>-3.9369999999999998</v>
      </c>
    </row>
    <row r="263" spans="1:14" x14ac:dyDescent="0.2">
      <c r="A263" t="s">
        <v>909</v>
      </c>
      <c r="B263">
        <v>2014</v>
      </c>
      <c r="C263">
        <v>64</v>
      </c>
      <c r="D263">
        <v>11</v>
      </c>
      <c r="E263" s="3">
        <v>17.08447</v>
      </c>
      <c r="F263" s="3">
        <v>8.2639999999999993</v>
      </c>
      <c r="G263" s="3">
        <v>8.8210999999999995</v>
      </c>
      <c r="H263" s="3">
        <v>-5.5057999999999998</v>
      </c>
      <c r="I263" s="3">
        <v>6.06</v>
      </c>
      <c r="J263">
        <v>24</v>
      </c>
      <c r="K263">
        <v>1</v>
      </c>
      <c r="L263">
        <v>0.83599999999999997</v>
      </c>
      <c r="M263">
        <v>0.88304689000000003</v>
      </c>
      <c r="N263" s="3">
        <v>-8.8210999999999995</v>
      </c>
    </row>
    <row r="264" spans="1:14" x14ac:dyDescent="0.2">
      <c r="A264" t="s">
        <v>929</v>
      </c>
      <c r="B264">
        <v>2014</v>
      </c>
      <c r="C264">
        <v>64</v>
      </c>
      <c r="D264">
        <v>11</v>
      </c>
      <c r="E264" s="3">
        <v>17.84347</v>
      </c>
      <c r="F264" s="3">
        <v>15.97</v>
      </c>
      <c r="G264" s="3">
        <v>1.8731</v>
      </c>
      <c r="H264" s="3">
        <v>0.89770000000000005</v>
      </c>
      <c r="I264" s="3">
        <v>2.93</v>
      </c>
      <c r="J264">
        <v>-7</v>
      </c>
      <c r="K264">
        <v>0</v>
      </c>
      <c r="L264">
        <v>0.84599999999999997</v>
      </c>
      <c r="M264">
        <v>0.92916604999999997</v>
      </c>
      <c r="N264" s="3">
        <v>-1.8731</v>
      </c>
    </row>
    <row r="265" spans="1:14" x14ac:dyDescent="0.2">
      <c r="A265" t="s">
        <v>914</v>
      </c>
      <c r="B265">
        <v>2014</v>
      </c>
      <c r="C265">
        <v>64</v>
      </c>
      <c r="D265">
        <v>11</v>
      </c>
      <c r="E265" s="3">
        <v>12.659420000000001</v>
      </c>
      <c r="F265" s="3">
        <v>9.4879999999999995</v>
      </c>
      <c r="G265" s="3">
        <v>3.1715</v>
      </c>
      <c r="H265" s="3">
        <v>7.7714999999999996</v>
      </c>
      <c r="I265" s="3">
        <v>7.46</v>
      </c>
      <c r="J265">
        <v>18</v>
      </c>
      <c r="K265">
        <v>1</v>
      </c>
      <c r="L265">
        <v>0.72</v>
      </c>
      <c r="M265">
        <v>0.81235944500000001</v>
      </c>
      <c r="N265" s="3">
        <v>-3.1715</v>
      </c>
    </row>
    <row r="266" spans="1:14" x14ac:dyDescent="0.2">
      <c r="A266" t="s">
        <v>930</v>
      </c>
      <c r="B266">
        <v>2014</v>
      </c>
      <c r="C266">
        <v>64</v>
      </c>
      <c r="D266">
        <v>9</v>
      </c>
      <c r="E266" s="3">
        <v>21.012429999999998</v>
      </c>
      <c r="F266" s="3">
        <v>12.558</v>
      </c>
      <c r="G266" s="3">
        <v>8.4541000000000004</v>
      </c>
      <c r="H266" s="3">
        <v>-0.53149999999999997</v>
      </c>
      <c r="I266" s="3">
        <v>-2.6</v>
      </c>
      <c r="J266">
        <v>7</v>
      </c>
      <c r="K266">
        <v>1</v>
      </c>
      <c r="L266">
        <v>0.873</v>
      </c>
      <c r="M266">
        <v>0.93070299099999998</v>
      </c>
      <c r="N266" s="3">
        <v>-8.4541000000000004</v>
      </c>
    </row>
    <row r="267" spans="1:14" x14ac:dyDescent="0.2">
      <c r="A267" t="s">
        <v>915</v>
      </c>
      <c r="B267">
        <v>2014</v>
      </c>
      <c r="C267">
        <v>64</v>
      </c>
      <c r="D267">
        <v>9</v>
      </c>
      <c r="E267" s="3">
        <v>18.002590000000001</v>
      </c>
      <c r="F267" s="3">
        <v>6.9039999999999999</v>
      </c>
      <c r="G267" s="3">
        <v>11.098699999999999</v>
      </c>
      <c r="H267" s="3">
        <v>-6.16</v>
      </c>
      <c r="I267" s="3">
        <v>2.41</v>
      </c>
      <c r="J267">
        <v>15</v>
      </c>
      <c r="K267">
        <v>1</v>
      </c>
      <c r="L267">
        <v>0.83</v>
      </c>
      <c r="M267">
        <v>0.91178544500000003</v>
      </c>
      <c r="N267" s="3">
        <v>-11.098699999999999</v>
      </c>
    </row>
    <row r="268" spans="1:14" x14ac:dyDescent="0.2">
      <c r="A268" t="s">
        <v>907</v>
      </c>
      <c r="B268">
        <v>2014</v>
      </c>
      <c r="C268">
        <v>64</v>
      </c>
      <c r="D268">
        <v>9</v>
      </c>
      <c r="E268" s="3">
        <v>12.91811</v>
      </c>
      <c r="F268" s="3">
        <v>12.167999999999999</v>
      </c>
      <c r="G268" s="3">
        <v>0.74970000000000003</v>
      </c>
      <c r="H268" s="3">
        <v>1.5409999999999999</v>
      </c>
      <c r="I268" s="3">
        <v>-2.67</v>
      </c>
      <c r="J268">
        <v>17</v>
      </c>
      <c r="K268">
        <v>1</v>
      </c>
      <c r="L268">
        <v>0.73399999999999999</v>
      </c>
      <c r="M268">
        <v>0.87075940699999999</v>
      </c>
      <c r="N268" s="3">
        <v>-0.74970000000000003</v>
      </c>
    </row>
    <row r="269" spans="1:14" x14ac:dyDescent="0.2">
      <c r="A269" t="s">
        <v>923</v>
      </c>
      <c r="B269">
        <v>2014</v>
      </c>
      <c r="C269">
        <v>64</v>
      </c>
      <c r="D269">
        <v>9</v>
      </c>
      <c r="E269" s="3">
        <v>9.1905000000000001</v>
      </c>
      <c r="F269" s="3">
        <v>-3.6909999999999998</v>
      </c>
      <c r="G269" s="3">
        <v>12.8818</v>
      </c>
      <c r="H269" s="3">
        <v>-2.5558999999999998</v>
      </c>
      <c r="I269" s="3">
        <v>2</v>
      </c>
      <c r="J269">
        <v>4</v>
      </c>
      <c r="K269">
        <v>1</v>
      </c>
      <c r="L269">
        <v>0.72599999999999998</v>
      </c>
      <c r="M269">
        <v>0.74548880900000003</v>
      </c>
      <c r="N269" s="3">
        <v>-12.8818</v>
      </c>
    </row>
    <row r="270" spans="1:14" x14ac:dyDescent="0.2">
      <c r="A270" t="s">
        <v>906</v>
      </c>
      <c r="B270">
        <v>2014</v>
      </c>
      <c r="C270">
        <v>64</v>
      </c>
      <c r="D270">
        <v>7</v>
      </c>
      <c r="E270" s="3">
        <v>9.4251000000000005</v>
      </c>
      <c r="F270" s="3">
        <v>-2.7610000000000001</v>
      </c>
      <c r="G270" s="3">
        <v>12.185499999999999</v>
      </c>
      <c r="H270" s="3">
        <v>7.6040999999999999</v>
      </c>
      <c r="I270" s="3">
        <v>9.27</v>
      </c>
      <c r="J270">
        <v>-2</v>
      </c>
      <c r="K270">
        <v>0</v>
      </c>
      <c r="L270">
        <v>0.73</v>
      </c>
      <c r="M270">
        <v>0.764132213</v>
      </c>
      <c r="N270" s="3">
        <v>-12.185499999999999</v>
      </c>
    </row>
    <row r="271" spans="1:14" x14ac:dyDescent="0.2">
      <c r="A271" t="s">
        <v>924</v>
      </c>
      <c r="B271">
        <v>2014</v>
      </c>
      <c r="C271">
        <v>64</v>
      </c>
      <c r="D271">
        <v>7</v>
      </c>
      <c r="E271" s="3">
        <v>5.8226000000000004</v>
      </c>
      <c r="F271" s="3">
        <v>1.8819999999999999</v>
      </c>
      <c r="G271" s="3">
        <v>3.9394</v>
      </c>
      <c r="H271" s="3">
        <v>6.9485000000000001</v>
      </c>
      <c r="I271" s="3">
        <v>0.13</v>
      </c>
      <c r="J271">
        <v>-5</v>
      </c>
      <c r="K271">
        <v>0</v>
      </c>
      <c r="L271">
        <v>0.63300000000000001</v>
      </c>
      <c r="M271">
        <v>0.63790892399999999</v>
      </c>
      <c r="N271" s="3">
        <v>-3.9394</v>
      </c>
    </row>
    <row r="272" spans="1:14" x14ac:dyDescent="0.2">
      <c r="A272" t="s">
        <v>934</v>
      </c>
      <c r="B272">
        <v>2014</v>
      </c>
      <c r="C272">
        <v>64</v>
      </c>
      <c r="D272">
        <v>7</v>
      </c>
      <c r="E272" s="3">
        <v>5.2453000000000003</v>
      </c>
      <c r="F272" s="3">
        <v>-7.6059999999999999</v>
      </c>
      <c r="G272" s="3">
        <v>12.8507</v>
      </c>
      <c r="H272" s="3">
        <v>0.84819999999999995</v>
      </c>
      <c r="I272" s="3">
        <v>7.0000000000000007E-2</v>
      </c>
      <c r="J272">
        <v>3</v>
      </c>
      <c r="K272">
        <v>1</v>
      </c>
      <c r="L272">
        <v>0.57999999999999996</v>
      </c>
      <c r="M272">
        <v>0.58046505900000001</v>
      </c>
      <c r="N272" s="3">
        <v>-12.8507</v>
      </c>
    </row>
    <row r="273" spans="1:14" x14ac:dyDescent="0.2">
      <c r="A273" t="s">
        <v>916</v>
      </c>
      <c r="B273">
        <v>2014</v>
      </c>
      <c r="C273">
        <v>64</v>
      </c>
      <c r="D273">
        <v>7</v>
      </c>
      <c r="E273" s="3">
        <v>1.7609999999999999</v>
      </c>
      <c r="F273" s="3">
        <v>-2.83</v>
      </c>
      <c r="G273" s="3">
        <v>4.5909000000000004</v>
      </c>
      <c r="H273" s="3">
        <v>-2.8489</v>
      </c>
      <c r="I273" s="3">
        <v>0.26</v>
      </c>
      <c r="J273">
        <v>-4</v>
      </c>
      <c r="K273">
        <v>0</v>
      </c>
      <c r="L273">
        <v>0.56999999999999995</v>
      </c>
      <c r="M273">
        <v>0.58015579500000003</v>
      </c>
      <c r="N273" s="3">
        <v>-4.5909000000000004</v>
      </c>
    </row>
    <row r="274" spans="1:14" x14ac:dyDescent="0.2">
      <c r="A274" t="s">
        <v>908</v>
      </c>
      <c r="B274">
        <v>2014</v>
      </c>
      <c r="C274">
        <v>64</v>
      </c>
      <c r="D274">
        <v>5</v>
      </c>
      <c r="E274" s="3">
        <v>8.6905000000000001</v>
      </c>
      <c r="F274" s="3">
        <v>-4.34</v>
      </c>
      <c r="G274" s="3">
        <v>13.0303</v>
      </c>
      <c r="H274" s="3">
        <v>0.16420000000000001</v>
      </c>
      <c r="I274" s="3">
        <v>-0.37</v>
      </c>
      <c r="J274">
        <v>-1</v>
      </c>
      <c r="K274">
        <v>0</v>
      </c>
      <c r="L274">
        <v>0.66700000000000004</v>
      </c>
      <c r="M274">
        <v>0.75305578699999998</v>
      </c>
      <c r="N274" s="3">
        <v>-13.0303</v>
      </c>
    </row>
    <row r="275" spans="1:14" x14ac:dyDescent="0.2">
      <c r="A275" t="s">
        <v>925</v>
      </c>
      <c r="B275">
        <v>2014</v>
      </c>
      <c r="C275">
        <v>64</v>
      </c>
      <c r="D275">
        <v>5</v>
      </c>
      <c r="E275" s="3">
        <v>4.7491000000000003</v>
      </c>
      <c r="F275" s="3">
        <v>9.8640000000000008</v>
      </c>
      <c r="G275" s="3">
        <v>-5.1154000000000002</v>
      </c>
      <c r="H275" s="3">
        <v>-3.5493000000000001</v>
      </c>
      <c r="I275" s="3">
        <v>3.18</v>
      </c>
      <c r="J275">
        <v>14</v>
      </c>
      <c r="K275">
        <v>1</v>
      </c>
      <c r="L275">
        <v>0.58899999999999997</v>
      </c>
      <c r="M275">
        <v>0.70323675699999999</v>
      </c>
      <c r="N275" s="3">
        <v>5.1154000000000002</v>
      </c>
    </row>
    <row r="276" spans="1:14" x14ac:dyDescent="0.2">
      <c r="A276" t="s">
        <v>917</v>
      </c>
      <c r="B276">
        <v>2014</v>
      </c>
      <c r="C276">
        <v>64</v>
      </c>
      <c r="D276">
        <v>5</v>
      </c>
      <c r="E276" s="3">
        <v>3.6514000000000002</v>
      </c>
      <c r="F276" s="3">
        <v>-2.4860000000000002</v>
      </c>
      <c r="G276" s="3">
        <v>6.1374000000000004</v>
      </c>
      <c r="H276" s="3">
        <v>6.1345999999999998</v>
      </c>
      <c r="I276" s="3">
        <v>1.32</v>
      </c>
      <c r="J276">
        <v>2</v>
      </c>
      <c r="K276">
        <v>1</v>
      </c>
      <c r="L276">
        <v>0.64</v>
      </c>
      <c r="M276">
        <v>0.67963736799999996</v>
      </c>
      <c r="N276" s="3">
        <v>-6.1374000000000004</v>
      </c>
    </row>
    <row r="277" spans="1:14" x14ac:dyDescent="0.2">
      <c r="A277" t="s">
        <v>935</v>
      </c>
      <c r="B277">
        <v>2014</v>
      </c>
      <c r="C277">
        <v>64</v>
      </c>
      <c r="D277">
        <v>5</v>
      </c>
      <c r="E277" s="3">
        <v>-7.5563000000000002</v>
      </c>
      <c r="F277" s="3">
        <v>-5.3440000000000003</v>
      </c>
      <c r="G277" s="3">
        <v>-2.2122999999999999</v>
      </c>
      <c r="H277" s="3">
        <v>8.2767999999999997</v>
      </c>
      <c r="I277" s="3">
        <v>1.97</v>
      </c>
      <c r="J277">
        <v>-19</v>
      </c>
      <c r="K277">
        <v>0</v>
      </c>
      <c r="L277">
        <v>0.27</v>
      </c>
      <c r="M277">
        <v>0.29457346899999998</v>
      </c>
      <c r="N277" s="3">
        <v>2.2122999999999999</v>
      </c>
    </row>
    <row r="278" spans="1:14" x14ac:dyDescent="0.2">
      <c r="A278" t="s">
        <v>918</v>
      </c>
      <c r="B278">
        <v>2014</v>
      </c>
      <c r="C278">
        <v>64</v>
      </c>
      <c r="D278">
        <v>3</v>
      </c>
      <c r="E278" s="3">
        <v>6.0888999999999998</v>
      </c>
      <c r="F278" s="3">
        <v>9.4E-2</v>
      </c>
      <c r="G278" s="3">
        <v>5.9946999999999999</v>
      </c>
      <c r="H278" s="3">
        <v>-1.0328999999999999</v>
      </c>
      <c r="I278" s="3">
        <v>2.4</v>
      </c>
      <c r="J278">
        <v>8</v>
      </c>
      <c r="K278">
        <v>1</v>
      </c>
      <c r="L278">
        <v>0.64</v>
      </c>
      <c r="M278">
        <v>0.67301009599999995</v>
      </c>
      <c r="N278" s="3">
        <v>-5.9946999999999999</v>
      </c>
    </row>
    <row r="279" spans="1:14" x14ac:dyDescent="0.2">
      <c r="A279" t="s">
        <v>910</v>
      </c>
      <c r="B279">
        <v>2014</v>
      </c>
      <c r="C279">
        <v>64</v>
      </c>
      <c r="D279">
        <v>3</v>
      </c>
      <c r="E279" s="3">
        <v>1.5516000000000001</v>
      </c>
      <c r="F279" s="3">
        <v>0.34699999999999998</v>
      </c>
      <c r="G279" s="3">
        <v>1.2045999999999999</v>
      </c>
      <c r="H279" s="3">
        <v>-0.52929999999999999</v>
      </c>
      <c r="I279" s="3">
        <v>0.37</v>
      </c>
      <c r="J279">
        <v>-5</v>
      </c>
      <c r="K279">
        <v>0</v>
      </c>
      <c r="L279">
        <v>0.56899999999999995</v>
      </c>
      <c r="M279">
        <v>0.63753783600000002</v>
      </c>
      <c r="N279" s="3">
        <v>-1.2045999999999999</v>
      </c>
    </row>
    <row r="280" spans="1:14" x14ac:dyDescent="0.2">
      <c r="A280" t="s">
        <v>926</v>
      </c>
      <c r="B280">
        <v>2014</v>
      </c>
      <c r="C280">
        <v>64</v>
      </c>
      <c r="D280">
        <v>3</v>
      </c>
      <c r="E280" s="3">
        <v>4.0286</v>
      </c>
      <c r="F280" s="3">
        <v>3.5449999999999999</v>
      </c>
      <c r="G280" s="3">
        <v>0.48420000000000002</v>
      </c>
      <c r="H280" s="3">
        <v>-3.3618999999999999</v>
      </c>
      <c r="I280" s="3">
        <v>-5.55</v>
      </c>
      <c r="J280">
        <v>19</v>
      </c>
      <c r="K280">
        <v>1</v>
      </c>
      <c r="L280">
        <v>0.6</v>
      </c>
      <c r="M280">
        <v>0.64731651300000004</v>
      </c>
      <c r="N280" s="3">
        <v>-0.48420000000000002</v>
      </c>
    </row>
    <row r="281" spans="1:14" x14ac:dyDescent="0.2">
      <c r="A281" t="s">
        <v>1180</v>
      </c>
      <c r="B281">
        <v>2014</v>
      </c>
      <c r="C281">
        <v>64</v>
      </c>
      <c r="D281">
        <v>3</v>
      </c>
      <c r="E281" s="3">
        <v>-0.4052</v>
      </c>
      <c r="F281" s="3">
        <v>8.6999999999999994E-2</v>
      </c>
      <c r="G281" s="3">
        <v>-0.49270000000000003</v>
      </c>
      <c r="H281" s="3">
        <v>-0.39939999999999998</v>
      </c>
      <c r="I281" s="3">
        <v>1.39</v>
      </c>
      <c r="J281">
        <v>2</v>
      </c>
      <c r="K281">
        <v>1</v>
      </c>
      <c r="L281">
        <v>0.52300000000000002</v>
      </c>
      <c r="M281">
        <v>0.50118661200000003</v>
      </c>
      <c r="N281" s="3">
        <v>0.49270000000000003</v>
      </c>
    </row>
    <row r="282" spans="1:14" x14ac:dyDescent="0.2">
      <c r="A282" t="s">
        <v>931</v>
      </c>
      <c r="B282">
        <v>2014</v>
      </c>
      <c r="C282">
        <v>64</v>
      </c>
      <c r="D282">
        <v>1</v>
      </c>
      <c r="E282" s="3">
        <v>6.7556000000000003</v>
      </c>
      <c r="F282" s="3">
        <v>7.8970000000000002</v>
      </c>
      <c r="G282" s="3">
        <v>-1.1413</v>
      </c>
      <c r="H282" s="3">
        <v>0.95830000000000004</v>
      </c>
      <c r="I282" s="3">
        <v>7.92</v>
      </c>
      <c r="J282">
        <v>7</v>
      </c>
      <c r="K282">
        <v>1</v>
      </c>
      <c r="L282">
        <v>0.64900000000000002</v>
      </c>
      <c r="M282">
        <v>0.73931629899999995</v>
      </c>
      <c r="N282" s="3">
        <v>1.1413</v>
      </c>
    </row>
    <row r="283" spans="1:14" x14ac:dyDescent="0.2">
      <c r="A283" t="s">
        <v>919</v>
      </c>
      <c r="B283">
        <v>2014</v>
      </c>
      <c r="C283">
        <v>64</v>
      </c>
      <c r="D283">
        <v>1</v>
      </c>
      <c r="E283" s="3">
        <v>0.70069999999999999</v>
      </c>
      <c r="F283" s="3">
        <v>1.04</v>
      </c>
      <c r="G283" s="3">
        <v>-0.33910000000000001</v>
      </c>
      <c r="H283" s="3">
        <v>2.0526</v>
      </c>
      <c r="I283" s="3">
        <v>1.57</v>
      </c>
      <c r="J283">
        <v>5</v>
      </c>
      <c r="K283">
        <v>1</v>
      </c>
      <c r="L283">
        <v>0.5</v>
      </c>
      <c r="M283">
        <v>0.55004120099999998</v>
      </c>
      <c r="N283" s="3">
        <v>0.33910000000000001</v>
      </c>
    </row>
    <row r="284" spans="1:14" x14ac:dyDescent="0.2">
      <c r="A284" t="s">
        <v>927</v>
      </c>
      <c r="B284">
        <v>2014</v>
      </c>
      <c r="C284">
        <v>64</v>
      </c>
      <c r="D284">
        <v>1</v>
      </c>
      <c r="E284" s="3">
        <v>-0.89419999999999999</v>
      </c>
      <c r="F284" s="3">
        <v>-2.1779999999999999</v>
      </c>
      <c r="G284" s="3">
        <v>1.2835000000000001</v>
      </c>
      <c r="H284" s="3">
        <v>-2.4378000000000002</v>
      </c>
      <c r="I284" s="3">
        <v>3.01</v>
      </c>
      <c r="J284">
        <v>8</v>
      </c>
      <c r="K284">
        <v>1</v>
      </c>
      <c r="L284">
        <v>0.50600000000000001</v>
      </c>
      <c r="M284">
        <v>0.47987006900000001</v>
      </c>
      <c r="N284" s="3">
        <v>-1.2835000000000001</v>
      </c>
    </row>
    <row r="285" spans="1:14" x14ac:dyDescent="0.2">
      <c r="A285" t="s">
        <v>905</v>
      </c>
      <c r="B285">
        <v>2014</v>
      </c>
      <c r="C285">
        <v>64</v>
      </c>
      <c r="D285">
        <v>1</v>
      </c>
      <c r="E285" s="3">
        <v>-9.0471000000000004</v>
      </c>
      <c r="F285" s="3">
        <v>-8.5120000000000005</v>
      </c>
      <c r="G285" s="3">
        <v>-0.53510000000000002</v>
      </c>
      <c r="H285" s="3">
        <v>2.3725000000000001</v>
      </c>
      <c r="I285" s="3">
        <v>3.78</v>
      </c>
      <c r="J285">
        <v>-29</v>
      </c>
      <c r="K285">
        <v>0</v>
      </c>
      <c r="L285">
        <v>0.28499999999999998</v>
      </c>
      <c r="M285">
        <v>0.27571527200000001</v>
      </c>
      <c r="N285" s="3">
        <v>0.53510000000000002</v>
      </c>
    </row>
    <row r="286" spans="1:14" x14ac:dyDescent="0.2">
      <c r="A286" t="s">
        <v>936</v>
      </c>
      <c r="B286">
        <v>2014</v>
      </c>
      <c r="C286">
        <v>32</v>
      </c>
      <c r="D286">
        <v>8</v>
      </c>
      <c r="E286" s="3">
        <v>9.19</v>
      </c>
      <c r="F286" s="3">
        <v>7.2</v>
      </c>
      <c r="G286" s="3">
        <v>1.9</v>
      </c>
      <c r="H286" s="3">
        <v>1.6</v>
      </c>
      <c r="I286" s="3">
        <v>4.99</v>
      </c>
      <c r="J286">
        <v>-3</v>
      </c>
      <c r="K286">
        <v>0</v>
      </c>
      <c r="L286">
        <v>0.69</v>
      </c>
      <c r="M286">
        <v>0.78727664100000005</v>
      </c>
      <c r="N286" s="3">
        <v>-1.9</v>
      </c>
    </row>
    <row r="287" spans="1:14" x14ac:dyDescent="0.2">
      <c r="A287" t="s">
        <v>938</v>
      </c>
      <c r="B287">
        <v>2014</v>
      </c>
      <c r="C287">
        <v>32</v>
      </c>
      <c r="D287">
        <v>8</v>
      </c>
      <c r="E287" s="3">
        <v>10.44</v>
      </c>
      <c r="F287" s="3">
        <v>5.8</v>
      </c>
      <c r="G287" s="3">
        <v>4.9000000000000004</v>
      </c>
      <c r="H287" s="3">
        <v>7.1</v>
      </c>
      <c r="I287" s="3">
        <v>6.42</v>
      </c>
      <c r="J287">
        <v>17</v>
      </c>
      <c r="K287">
        <v>1</v>
      </c>
      <c r="L287">
        <v>0.69</v>
      </c>
      <c r="M287">
        <v>0.87824936399999998</v>
      </c>
      <c r="N287" s="3">
        <v>-4.9000000000000004</v>
      </c>
    </row>
    <row r="288" spans="1:14" x14ac:dyDescent="0.2">
      <c r="A288" t="s">
        <v>937</v>
      </c>
      <c r="B288">
        <v>2014</v>
      </c>
      <c r="C288">
        <v>32</v>
      </c>
      <c r="D288">
        <v>8</v>
      </c>
      <c r="E288" s="3">
        <v>8.91</v>
      </c>
      <c r="F288" s="3">
        <v>1.7</v>
      </c>
      <c r="G288" s="3">
        <v>7.3</v>
      </c>
      <c r="H288" s="3">
        <v>-4.2</v>
      </c>
      <c r="I288" s="3">
        <v>1.23</v>
      </c>
      <c r="J288">
        <v>-2</v>
      </c>
      <c r="K288">
        <v>0</v>
      </c>
      <c r="L288">
        <v>0.71</v>
      </c>
      <c r="M288">
        <v>0.77338786800000003</v>
      </c>
      <c r="N288" s="3">
        <v>-7.3</v>
      </c>
    </row>
    <row r="289" spans="1:14" x14ac:dyDescent="0.2">
      <c r="A289" t="s">
        <v>945</v>
      </c>
      <c r="B289">
        <v>2014</v>
      </c>
      <c r="C289">
        <v>32</v>
      </c>
      <c r="D289">
        <v>8</v>
      </c>
      <c r="E289" s="3">
        <v>6.28</v>
      </c>
      <c r="F289" s="3">
        <v>-7.3</v>
      </c>
      <c r="G289" s="3">
        <v>13.5</v>
      </c>
      <c r="H289" s="3">
        <v>0.1</v>
      </c>
      <c r="I289" s="3">
        <v>1.02</v>
      </c>
      <c r="J289">
        <v>19</v>
      </c>
      <c r="K289">
        <v>1</v>
      </c>
      <c r="L289">
        <v>0.65</v>
      </c>
      <c r="M289">
        <v>0.64584432700000005</v>
      </c>
      <c r="N289" s="3">
        <v>-13.5</v>
      </c>
    </row>
    <row r="290" spans="1:14" x14ac:dyDescent="0.2">
      <c r="A290" t="s">
        <v>1059</v>
      </c>
      <c r="B290">
        <v>2014</v>
      </c>
      <c r="C290">
        <v>32</v>
      </c>
      <c r="D290">
        <v>8</v>
      </c>
      <c r="E290" s="3">
        <v>5.28</v>
      </c>
      <c r="F290" s="3">
        <v>-0.7</v>
      </c>
      <c r="G290" s="3">
        <v>6</v>
      </c>
      <c r="H290" s="3">
        <v>-0.9</v>
      </c>
      <c r="I290" s="3">
        <v>4.87</v>
      </c>
      <c r="J290">
        <v>16</v>
      </c>
      <c r="K290">
        <v>1</v>
      </c>
      <c r="L290">
        <v>0.68</v>
      </c>
      <c r="M290">
        <v>0.76202980300000001</v>
      </c>
      <c r="N290" s="3">
        <v>-6</v>
      </c>
    </row>
    <row r="291" spans="1:14" x14ac:dyDescent="0.2">
      <c r="A291" t="s">
        <v>941</v>
      </c>
      <c r="B291">
        <v>2014</v>
      </c>
      <c r="C291">
        <v>32</v>
      </c>
      <c r="D291">
        <v>8</v>
      </c>
      <c r="E291" s="3">
        <v>6.3</v>
      </c>
      <c r="F291" s="3">
        <v>6.3</v>
      </c>
      <c r="G291" s="3">
        <v>0</v>
      </c>
      <c r="H291" s="3">
        <v>0.5</v>
      </c>
      <c r="I291" s="3">
        <v>3.28</v>
      </c>
      <c r="J291">
        <v>7</v>
      </c>
      <c r="K291">
        <v>1</v>
      </c>
      <c r="L291">
        <v>0.64</v>
      </c>
      <c r="M291">
        <v>0.77232375900000005</v>
      </c>
      <c r="N291" s="3">
        <v>0</v>
      </c>
    </row>
    <row r="292" spans="1:14" x14ac:dyDescent="0.2">
      <c r="A292" t="s">
        <v>939</v>
      </c>
      <c r="B292">
        <v>2014</v>
      </c>
      <c r="C292">
        <v>32</v>
      </c>
      <c r="D292">
        <v>7</v>
      </c>
      <c r="E292" s="3">
        <v>11.01</v>
      </c>
      <c r="F292" s="3">
        <v>2.2000000000000002</v>
      </c>
      <c r="G292" s="3">
        <v>8.5</v>
      </c>
      <c r="H292" s="3">
        <v>-7.8</v>
      </c>
      <c r="I292" s="3">
        <v>1.1000000000000001</v>
      </c>
      <c r="J292">
        <v>18</v>
      </c>
      <c r="K292">
        <v>1</v>
      </c>
      <c r="L292">
        <v>0.78</v>
      </c>
      <c r="M292">
        <v>0.70994960699999998</v>
      </c>
      <c r="N292" s="3">
        <v>-8.5</v>
      </c>
    </row>
    <row r="293" spans="1:14" x14ac:dyDescent="0.2">
      <c r="A293" t="s">
        <v>942</v>
      </c>
      <c r="B293">
        <v>2014</v>
      </c>
      <c r="C293">
        <v>32</v>
      </c>
      <c r="D293">
        <v>7</v>
      </c>
      <c r="E293" s="3">
        <v>8.44</v>
      </c>
      <c r="F293" s="3">
        <v>0.9</v>
      </c>
      <c r="G293" s="3">
        <v>7.3</v>
      </c>
      <c r="H293" s="3">
        <v>-1.9</v>
      </c>
      <c r="I293" s="3">
        <v>1.32</v>
      </c>
      <c r="J293">
        <v>23</v>
      </c>
      <c r="K293">
        <v>1</v>
      </c>
      <c r="L293">
        <v>0.7</v>
      </c>
      <c r="M293">
        <v>0.72659287100000003</v>
      </c>
      <c r="N293" s="3">
        <v>-7.3</v>
      </c>
    </row>
    <row r="294" spans="1:14" x14ac:dyDescent="0.2">
      <c r="A294" t="s">
        <v>946</v>
      </c>
      <c r="B294">
        <v>2014</v>
      </c>
      <c r="C294">
        <v>32</v>
      </c>
      <c r="D294">
        <v>7</v>
      </c>
      <c r="E294" s="3">
        <v>3.89</v>
      </c>
      <c r="F294" s="3">
        <v>0.6</v>
      </c>
      <c r="G294" s="3">
        <v>3.1</v>
      </c>
      <c r="H294" s="3">
        <v>-0.8</v>
      </c>
      <c r="I294" s="3">
        <v>-2.88</v>
      </c>
      <c r="J294">
        <v>-2</v>
      </c>
      <c r="K294">
        <v>0</v>
      </c>
      <c r="L294">
        <v>0.66</v>
      </c>
      <c r="M294">
        <v>0.57864020199999999</v>
      </c>
      <c r="N294" s="3">
        <v>-3.1</v>
      </c>
    </row>
    <row r="295" spans="1:14" x14ac:dyDescent="0.2">
      <c r="A295" t="s">
        <v>947</v>
      </c>
      <c r="B295">
        <v>2014</v>
      </c>
      <c r="C295">
        <v>32</v>
      </c>
      <c r="D295">
        <v>5</v>
      </c>
      <c r="E295" s="3">
        <v>7.64</v>
      </c>
      <c r="F295" s="3">
        <v>10.6</v>
      </c>
      <c r="G295" s="3">
        <v>-2.9</v>
      </c>
      <c r="H295" s="3">
        <v>-5.8</v>
      </c>
      <c r="I295" s="3">
        <v>1.22</v>
      </c>
      <c r="J295">
        <v>14</v>
      </c>
      <c r="K295">
        <v>1</v>
      </c>
      <c r="L295">
        <v>0.66</v>
      </c>
      <c r="M295">
        <v>0.78688598799999998</v>
      </c>
      <c r="N295" s="3">
        <v>2.9</v>
      </c>
    </row>
    <row r="296" spans="1:14" x14ac:dyDescent="0.2">
      <c r="A296" t="s">
        <v>940</v>
      </c>
      <c r="B296">
        <v>2014</v>
      </c>
      <c r="C296">
        <v>32</v>
      </c>
      <c r="D296">
        <v>5</v>
      </c>
      <c r="E296" s="3">
        <v>5.68</v>
      </c>
      <c r="F296" s="3">
        <v>4.5999999999999996</v>
      </c>
      <c r="G296" s="3">
        <v>1.1000000000000001</v>
      </c>
      <c r="H296" s="3">
        <v>2.5</v>
      </c>
      <c r="I296" s="3">
        <v>0.54</v>
      </c>
      <c r="J296">
        <v>-12</v>
      </c>
      <c r="K296">
        <v>0</v>
      </c>
      <c r="L296">
        <v>0.61</v>
      </c>
      <c r="M296">
        <v>0.64897241699999997</v>
      </c>
      <c r="N296" s="3">
        <v>-1.1000000000000001</v>
      </c>
    </row>
    <row r="297" spans="1:14" x14ac:dyDescent="0.2">
      <c r="A297" t="s">
        <v>943</v>
      </c>
      <c r="B297">
        <v>2014</v>
      </c>
      <c r="C297">
        <v>32</v>
      </c>
      <c r="D297">
        <v>5</v>
      </c>
      <c r="E297" s="3">
        <v>5.6</v>
      </c>
      <c r="F297" s="3">
        <v>2.6</v>
      </c>
      <c r="G297" s="3">
        <v>3</v>
      </c>
      <c r="H297" s="3">
        <v>-5</v>
      </c>
      <c r="I297" s="3">
        <v>3.26</v>
      </c>
      <c r="J297">
        <v>8</v>
      </c>
      <c r="K297">
        <v>1</v>
      </c>
      <c r="L297">
        <v>0.62</v>
      </c>
      <c r="M297">
        <v>0.77199741099999997</v>
      </c>
      <c r="N297" s="3">
        <v>-3</v>
      </c>
    </row>
    <row r="298" spans="1:14" x14ac:dyDescent="0.2">
      <c r="A298" t="s">
        <v>949</v>
      </c>
      <c r="B298">
        <v>2014</v>
      </c>
      <c r="C298">
        <v>32</v>
      </c>
      <c r="D298">
        <v>3</v>
      </c>
      <c r="E298" s="3">
        <v>14.2</v>
      </c>
      <c r="F298" s="3">
        <v>6.4</v>
      </c>
      <c r="G298" s="3">
        <v>7.9</v>
      </c>
      <c r="H298" s="3">
        <v>-2.1</v>
      </c>
      <c r="I298" s="3">
        <v>0.76</v>
      </c>
      <c r="J298">
        <v>20</v>
      </c>
      <c r="K298">
        <v>1</v>
      </c>
      <c r="L298">
        <v>0.82</v>
      </c>
      <c r="M298">
        <v>0.81064113900000001</v>
      </c>
      <c r="N298" s="3">
        <v>-7.9</v>
      </c>
    </row>
    <row r="299" spans="1:14" x14ac:dyDescent="0.2">
      <c r="A299" t="s">
        <v>944</v>
      </c>
      <c r="B299">
        <v>2014</v>
      </c>
      <c r="C299">
        <v>32</v>
      </c>
      <c r="D299">
        <v>3</v>
      </c>
      <c r="E299" s="3">
        <v>5.74</v>
      </c>
      <c r="F299" s="3">
        <v>6.5</v>
      </c>
      <c r="G299" s="3">
        <v>-0.8</v>
      </c>
      <c r="H299" s="3">
        <v>2.2999999999999998</v>
      </c>
      <c r="I299" s="3">
        <v>-0.8</v>
      </c>
      <c r="J299">
        <v>-30</v>
      </c>
      <c r="K299">
        <v>0</v>
      </c>
      <c r="L299">
        <v>0.61</v>
      </c>
      <c r="M299">
        <v>0.54404909700000004</v>
      </c>
      <c r="N299" s="3">
        <v>0.8</v>
      </c>
    </row>
    <row r="300" spans="1:14" x14ac:dyDescent="0.2">
      <c r="A300" t="s">
        <v>950</v>
      </c>
      <c r="B300">
        <v>2014</v>
      </c>
      <c r="C300">
        <v>32</v>
      </c>
      <c r="D300">
        <v>3</v>
      </c>
      <c r="E300" s="3">
        <v>2.73</v>
      </c>
      <c r="F300" s="3">
        <v>5.6</v>
      </c>
      <c r="G300" s="3">
        <v>-2.9</v>
      </c>
      <c r="H300" s="3">
        <v>1</v>
      </c>
      <c r="I300" s="3">
        <v>-0.56999999999999995</v>
      </c>
      <c r="J300">
        <v>2</v>
      </c>
      <c r="K300">
        <v>1</v>
      </c>
      <c r="L300">
        <v>0.53</v>
      </c>
      <c r="M300">
        <v>0.55723928499999997</v>
      </c>
      <c r="N300" s="3">
        <v>2.9</v>
      </c>
    </row>
    <row r="301" spans="1:14" x14ac:dyDescent="0.2">
      <c r="A301" t="s">
        <v>948</v>
      </c>
      <c r="B301">
        <v>2014</v>
      </c>
      <c r="C301">
        <v>32</v>
      </c>
      <c r="D301">
        <v>1</v>
      </c>
      <c r="E301" s="3">
        <v>14.49</v>
      </c>
      <c r="F301" s="3">
        <v>13</v>
      </c>
      <c r="G301" s="3">
        <v>1.5</v>
      </c>
      <c r="H301" s="3">
        <v>1.7</v>
      </c>
      <c r="I301" s="3">
        <v>-1.29</v>
      </c>
      <c r="J301">
        <v>15</v>
      </c>
      <c r="K301">
        <v>1</v>
      </c>
      <c r="L301">
        <v>0.8</v>
      </c>
      <c r="M301">
        <v>0.82226488200000003</v>
      </c>
      <c r="N301" s="3">
        <v>-1.5</v>
      </c>
    </row>
    <row r="302" spans="1:14" x14ac:dyDescent="0.2">
      <c r="A302" t="s">
        <v>957</v>
      </c>
      <c r="B302">
        <v>2014</v>
      </c>
      <c r="C302">
        <v>16</v>
      </c>
      <c r="D302">
        <v>9</v>
      </c>
      <c r="E302" s="3">
        <v>-0.38</v>
      </c>
      <c r="F302" s="3">
        <v>5.4</v>
      </c>
      <c r="G302" s="3">
        <v>-5.7</v>
      </c>
      <c r="H302" s="3">
        <v>-0.5</v>
      </c>
      <c r="I302" s="3">
        <v>-1.53</v>
      </c>
      <c r="J302">
        <v>2</v>
      </c>
      <c r="K302">
        <v>1</v>
      </c>
      <c r="L302">
        <v>0.45600000000000002</v>
      </c>
      <c r="M302">
        <v>0.52540233599999997</v>
      </c>
      <c r="N302" s="3">
        <v>5.7</v>
      </c>
    </row>
    <row r="303" spans="1:14" x14ac:dyDescent="0.2">
      <c r="A303" t="s">
        <v>958</v>
      </c>
      <c r="B303">
        <v>2014</v>
      </c>
      <c r="C303">
        <v>16</v>
      </c>
      <c r="D303">
        <v>4</v>
      </c>
      <c r="E303" s="3">
        <v>8.6</v>
      </c>
      <c r="F303" s="3">
        <v>1.5</v>
      </c>
      <c r="G303" s="3">
        <v>7.1</v>
      </c>
      <c r="H303" s="3">
        <v>3.1</v>
      </c>
      <c r="I303" s="3">
        <v>-9.1</v>
      </c>
      <c r="J303">
        <v>-5</v>
      </c>
      <c r="K303">
        <v>0</v>
      </c>
      <c r="L303">
        <v>0.69799999999999995</v>
      </c>
      <c r="M303">
        <v>0.67702755400000003</v>
      </c>
      <c r="N303" s="3">
        <v>-7.1</v>
      </c>
    </row>
    <row r="304" spans="1:14" x14ac:dyDescent="0.2">
      <c r="A304" t="s">
        <v>956</v>
      </c>
      <c r="B304">
        <v>2014</v>
      </c>
      <c r="C304">
        <v>16</v>
      </c>
      <c r="D304">
        <v>4</v>
      </c>
      <c r="E304" s="3">
        <v>4.79</v>
      </c>
      <c r="F304" s="3">
        <v>1.9</v>
      </c>
      <c r="G304" s="3">
        <v>2.8</v>
      </c>
      <c r="H304" s="3">
        <v>1.3</v>
      </c>
      <c r="I304" s="3">
        <v>1.88</v>
      </c>
      <c r="J304">
        <v>17</v>
      </c>
      <c r="K304">
        <v>1</v>
      </c>
      <c r="L304">
        <v>0.58299999999999996</v>
      </c>
      <c r="M304">
        <v>0.59081830599999996</v>
      </c>
      <c r="N304" s="3">
        <v>-2.8</v>
      </c>
    </row>
    <row r="305" spans="1:14" x14ac:dyDescent="0.2">
      <c r="A305" t="s">
        <v>954</v>
      </c>
      <c r="B305">
        <v>2014</v>
      </c>
      <c r="C305">
        <v>16</v>
      </c>
      <c r="D305">
        <v>4</v>
      </c>
      <c r="E305" s="3">
        <v>1.42</v>
      </c>
      <c r="F305" s="3">
        <v>5.7</v>
      </c>
      <c r="G305" s="3">
        <v>-4.5</v>
      </c>
      <c r="H305" s="3">
        <v>6.7</v>
      </c>
      <c r="I305" s="3">
        <v>-0.1</v>
      </c>
      <c r="J305">
        <v>-5</v>
      </c>
      <c r="K305">
        <v>0</v>
      </c>
      <c r="L305">
        <v>0.501</v>
      </c>
      <c r="M305">
        <v>0.48405153099999998</v>
      </c>
      <c r="N305" s="3">
        <v>4.5</v>
      </c>
    </row>
    <row r="306" spans="1:14" x14ac:dyDescent="0.2">
      <c r="A306" t="s">
        <v>955</v>
      </c>
      <c r="B306">
        <v>2014</v>
      </c>
      <c r="C306">
        <v>16</v>
      </c>
      <c r="D306">
        <v>3</v>
      </c>
      <c r="E306" s="3">
        <v>9.92</v>
      </c>
      <c r="F306" s="3">
        <v>6.3</v>
      </c>
      <c r="G306" s="3">
        <v>3.6</v>
      </c>
      <c r="H306" s="3">
        <v>0.8</v>
      </c>
      <c r="I306" s="3">
        <v>1.64</v>
      </c>
      <c r="J306">
        <v>6</v>
      </c>
      <c r="K306">
        <v>1</v>
      </c>
      <c r="L306">
        <v>0.72599999999999998</v>
      </c>
      <c r="M306">
        <v>0.7262689</v>
      </c>
      <c r="N306" s="3">
        <v>-3.6</v>
      </c>
    </row>
    <row r="307" spans="1:14" x14ac:dyDescent="0.2">
      <c r="A307" t="s">
        <v>951</v>
      </c>
      <c r="B307">
        <v>2014</v>
      </c>
      <c r="C307">
        <v>16</v>
      </c>
      <c r="D307">
        <v>3</v>
      </c>
      <c r="E307" s="3">
        <v>5.82</v>
      </c>
      <c r="F307" s="3">
        <v>-2.1</v>
      </c>
      <c r="G307" s="3">
        <v>8</v>
      </c>
      <c r="H307" s="3">
        <v>-6.9</v>
      </c>
      <c r="I307" s="3">
        <v>5.18</v>
      </c>
      <c r="J307">
        <v>11</v>
      </c>
      <c r="K307">
        <v>1</v>
      </c>
      <c r="L307">
        <v>0.70799999999999996</v>
      </c>
      <c r="M307">
        <v>0.71637208500000005</v>
      </c>
      <c r="N307" s="3">
        <v>-8</v>
      </c>
    </row>
    <row r="308" spans="1:14" x14ac:dyDescent="0.2">
      <c r="A308" t="s">
        <v>953</v>
      </c>
      <c r="B308">
        <v>2014</v>
      </c>
      <c r="C308">
        <v>16</v>
      </c>
      <c r="D308">
        <v>3</v>
      </c>
      <c r="E308" s="3">
        <v>2.71</v>
      </c>
      <c r="F308" s="3">
        <v>-4.2</v>
      </c>
      <c r="G308" s="3">
        <v>6.9</v>
      </c>
      <c r="H308" s="3">
        <v>-5</v>
      </c>
      <c r="I308" s="3">
        <v>0.86</v>
      </c>
      <c r="J308">
        <v>-2</v>
      </c>
      <c r="K308">
        <v>0</v>
      </c>
      <c r="L308">
        <v>0.63</v>
      </c>
      <c r="M308">
        <v>0.49275276499999998</v>
      </c>
      <c r="N308" s="3">
        <v>-6.9</v>
      </c>
    </row>
    <row r="309" spans="1:14" x14ac:dyDescent="0.2">
      <c r="A309" t="s">
        <v>952</v>
      </c>
      <c r="B309">
        <v>2014</v>
      </c>
      <c r="C309">
        <v>16</v>
      </c>
      <c r="D309">
        <v>1</v>
      </c>
      <c r="E309" s="3">
        <v>3.06</v>
      </c>
      <c r="F309" s="3">
        <v>-0.8</v>
      </c>
      <c r="G309" s="3">
        <v>3.8</v>
      </c>
      <c r="H309" s="3">
        <v>1.3</v>
      </c>
      <c r="I309" s="3">
        <v>3.07</v>
      </c>
      <c r="J309">
        <v>-10</v>
      </c>
      <c r="K309">
        <v>0</v>
      </c>
      <c r="L309">
        <v>0.56100000000000005</v>
      </c>
      <c r="M309">
        <v>0.49924390200000002</v>
      </c>
      <c r="N309" s="3">
        <v>-3.8</v>
      </c>
    </row>
    <row r="310" spans="1:14" x14ac:dyDescent="0.2">
      <c r="A310" t="s">
        <v>959</v>
      </c>
      <c r="B310">
        <v>2014</v>
      </c>
      <c r="C310">
        <v>8</v>
      </c>
      <c r="D310">
        <v>10</v>
      </c>
      <c r="E310" s="3">
        <v>15.04</v>
      </c>
      <c r="F310" s="3">
        <v>3</v>
      </c>
      <c r="G310" s="3">
        <v>11.9</v>
      </c>
      <c r="H310" s="3">
        <v>-2.5</v>
      </c>
      <c r="I310" s="3">
        <v>3.9</v>
      </c>
      <c r="J310">
        <v>10</v>
      </c>
      <c r="K310">
        <v>1</v>
      </c>
      <c r="L310">
        <v>0.84</v>
      </c>
      <c r="M310">
        <v>0.83061141299999997</v>
      </c>
      <c r="N310" s="3">
        <v>-11.9</v>
      </c>
    </row>
    <row r="311" spans="1:14" x14ac:dyDescent="0.2">
      <c r="A311" t="s">
        <v>961</v>
      </c>
      <c r="B311">
        <v>2014</v>
      </c>
      <c r="C311">
        <v>8</v>
      </c>
      <c r="D311">
        <v>6</v>
      </c>
      <c r="E311" s="3">
        <v>1.06</v>
      </c>
      <c r="F311" s="3">
        <v>5.6</v>
      </c>
      <c r="G311" s="3">
        <v>-4.5</v>
      </c>
      <c r="H311" s="3">
        <v>-3</v>
      </c>
      <c r="I311" s="3">
        <v>-5.17</v>
      </c>
      <c r="J311">
        <v>-3</v>
      </c>
      <c r="K311">
        <v>0</v>
      </c>
      <c r="L311">
        <v>0.5</v>
      </c>
      <c r="M311">
        <v>0.45146942400000001</v>
      </c>
      <c r="N311" s="3">
        <v>4.5</v>
      </c>
    </row>
    <row r="312" spans="1:14" x14ac:dyDescent="0.2">
      <c r="A312" t="s">
        <v>962</v>
      </c>
      <c r="B312">
        <v>2014</v>
      </c>
      <c r="C312">
        <v>8</v>
      </c>
      <c r="D312">
        <v>3</v>
      </c>
      <c r="E312" s="3">
        <v>4.07</v>
      </c>
      <c r="F312" s="3">
        <v>5.9</v>
      </c>
      <c r="G312" s="3">
        <v>-1.8</v>
      </c>
      <c r="H312" s="3">
        <v>1.1000000000000001</v>
      </c>
      <c r="I312" s="3">
        <v>-0.72</v>
      </c>
      <c r="J312">
        <v>-6</v>
      </c>
      <c r="K312">
        <v>0</v>
      </c>
      <c r="L312">
        <v>0.57999999999999996</v>
      </c>
      <c r="M312">
        <v>0.61865727000000004</v>
      </c>
      <c r="N312" s="3">
        <v>1.8</v>
      </c>
    </row>
    <row r="313" spans="1:14" x14ac:dyDescent="0.2">
      <c r="A313" t="s">
        <v>960</v>
      </c>
      <c r="B313">
        <v>2014</v>
      </c>
      <c r="C313">
        <v>8</v>
      </c>
      <c r="D313">
        <v>1</v>
      </c>
      <c r="E313" s="3">
        <v>4.53</v>
      </c>
      <c r="F313" s="3">
        <v>-5</v>
      </c>
      <c r="G313" s="3">
        <v>9.5</v>
      </c>
      <c r="H313" s="3">
        <v>0.4</v>
      </c>
      <c r="I313" s="3">
        <v>-0.53</v>
      </c>
      <c r="J313">
        <v>-1</v>
      </c>
      <c r="K313">
        <v>0</v>
      </c>
      <c r="L313">
        <v>0.64</v>
      </c>
      <c r="M313">
        <v>0.631873515</v>
      </c>
      <c r="N313" s="3">
        <v>-9.5</v>
      </c>
    </row>
    <row r="314" spans="1:14" x14ac:dyDescent="0.2">
      <c r="A314" t="s">
        <v>964</v>
      </c>
      <c r="B314">
        <v>2014</v>
      </c>
      <c r="C314">
        <v>4</v>
      </c>
      <c r="D314">
        <v>6</v>
      </c>
      <c r="E314" s="3">
        <v>8.67</v>
      </c>
      <c r="F314" s="3">
        <v>3.7</v>
      </c>
      <c r="G314" s="3">
        <v>4.9000000000000004</v>
      </c>
      <c r="H314" s="3">
        <v>-1.9</v>
      </c>
      <c r="I314" s="3">
        <v>3.98</v>
      </c>
      <c r="J314">
        <v>-10</v>
      </c>
      <c r="K314">
        <v>0</v>
      </c>
      <c r="L314">
        <v>0.74</v>
      </c>
      <c r="M314">
        <v>0.69928932700000002</v>
      </c>
      <c r="N314" s="3">
        <v>-4.9000000000000004</v>
      </c>
    </row>
    <row r="315" spans="1:14" x14ac:dyDescent="0.2">
      <c r="A315" t="s">
        <v>965</v>
      </c>
      <c r="B315">
        <v>2014</v>
      </c>
      <c r="C315">
        <v>4</v>
      </c>
      <c r="D315">
        <v>6</v>
      </c>
      <c r="E315" s="3">
        <v>3.2</v>
      </c>
      <c r="F315" s="3">
        <v>3.2</v>
      </c>
      <c r="G315" s="3">
        <v>0</v>
      </c>
      <c r="H315" s="3">
        <v>-1.6</v>
      </c>
      <c r="I315" s="3">
        <v>-1.57</v>
      </c>
      <c r="J315">
        <v>-1</v>
      </c>
      <c r="K315">
        <v>0</v>
      </c>
      <c r="L315">
        <v>0.55000000000000004</v>
      </c>
      <c r="M315">
        <v>0.586000458</v>
      </c>
      <c r="N315" s="3">
        <v>0</v>
      </c>
    </row>
    <row r="316" spans="1:14" x14ac:dyDescent="0.2">
      <c r="A316" t="s">
        <v>963</v>
      </c>
      <c r="B316">
        <v>2014</v>
      </c>
      <c r="C316">
        <v>2</v>
      </c>
      <c r="D316">
        <v>1</v>
      </c>
      <c r="E316" s="3">
        <v>-1.18</v>
      </c>
      <c r="F316" s="3">
        <v>-5.2</v>
      </c>
      <c r="G316" s="3">
        <v>3.9</v>
      </c>
      <c r="H316" s="3">
        <v>-0.8</v>
      </c>
      <c r="I316" s="3">
        <v>-3.74</v>
      </c>
      <c r="J316">
        <v>6</v>
      </c>
      <c r="K316">
        <v>1</v>
      </c>
      <c r="L316">
        <v>0.49</v>
      </c>
      <c r="M316">
        <v>0.50126111600000001</v>
      </c>
      <c r="N316" s="3">
        <v>-3.9</v>
      </c>
    </row>
    <row r="317" spans="1:14" x14ac:dyDescent="0.2">
      <c r="A317" t="s">
        <v>96</v>
      </c>
      <c r="B317">
        <v>2013</v>
      </c>
      <c r="C317">
        <v>64</v>
      </c>
      <c r="D317">
        <v>15</v>
      </c>
      <c r="E317" s="3">
        <v>36.469140000000003</v>
      </c>
      <c r="F317" s="3">
        <v>21.7302</v>
      </c>
      <c r="G317" s="3">
        <v>14.739100000000001</v>
      </c>
      <c r="H317" s="3">
        <v>0.48359999999999997</v>
      </c>
      <c r="I317" s="3">
        <v>8.36</v>
      </c>
      <c r="J317">
        <v>31</v>
      </c>
      <c r="K317">
        <v>1</v>
      </c>
      <c r="L317">
        <v>0.98</v>
      </c>
      <c r="M317">
        <v>0.995</v>
      </c>
      <c r="N317" s="3">
        <v>-14.739100000000001</v>
      </c>
    </row>
    <row r="318" spans="1:14" x14ac:dyDescent="0.2">
      <c r="A318" t="s">
        <v>98</v>
      </c>
      <c r="B318">
        <v>2013</v>
      </c>
      <c r="C318">
        <v>64</v>
      </c>
      <c r="D318">
        <v>15</v>
      </c>
      <c r="E318" s="3">
        <v>31.59882</v>
      </c>
      <c r="F318" s="3">
        <v>22.926400000000001</v>
      </c>
      <c r="G318" s="3">
        <v>8.6717999999999993</v>
      </c>
      <c r="H318" s="3">
        <v>3.2046000000000001</v>
      </c>
      <c r="I318" s="3">
        <v>3.55</v>
      </c>
      <c r="J318">
        <v>21</v>
      </c>
      <c r="K318">
        <v>1</v>
      </c>
      <c r="L318">
        <v>0.97</v>
      </c>
      <c r="M318">
        <v>0.98299999999999998</v>
      </c>
      <c r="N318" s="3">
        <v>-8.6717999999999993</v>
      </c>
    </row>
    <row r="319" spans="1:14" x14ac:dyDescent="0.2">
      <c r="A319" t="s">
        <v>99</v>
      </c>
      <c r="B319">
        <v>2013</v>
      </c>
      <c r="C319">
        <v>64</v>
      </c>
      <c r="D319">
        <v>15</v>
      </c>
      <c r="E319" s="3">
        <v>29.239436999999999</v>
      </c>
      <c r="F319" s="3">
        <v>21.829799999999999</v>
      </c>
      <c r="G319" s="3">
        <v>7.4095000000000004</v>
      </c>
      <c r="H319" s="3">
        <v>-0.31459999999999999</v>
      </c>
      <c r="I319" s="3">
        <v>7.3</v>
      </c>
      <c r="J319">
        <v>6</v>
      </c>
      <c r="K319">
        <v>1</v>
      </c>
      <c r="L319">
        <v>0.96099999999999997</v>
      </c>
      <c r="M319">
        <v>0.98199999999999998</v>
      </c>
      <c r="N319" s="3">
        <v>-7.4095000000000004</v>
      </c>
    </row>
    <row r="320" spans="1:14" x14ac:dyDescent="0.2">
      <c r="A320" t="s">
        <v>97</v>
      </c>
      <c r="B320">
        <v>2013</v>
      </c>
      <c r="C320">
        <v>64</v>
      </c>
      <c r="D320">
        <v>15</v>
      </c>
      <c r="E320" s="3">
        <v>26.386994999999999</v>
      </c>
      <c r="F320" s="3">
        <v>11.455</v>
      </c>
      <c r="G320" s="3">
        <v>14.9316</v>
      </c>
      <c r="H320" s="3">
        <v>1.7008000000000001</v>
      </c>
      <c r="I320" s="3">
        <v>3.54</v>
      </c>
      <c r="J320">
        <v>7</v>
      </c>
      <c r="K320">
        <v>1</v>
      </c>
      <c r="L320">
        <v>0.95099999999999996</v>
      </c>
      <c r="M320">
        <v>0.98199999999999998</v>
      </c>
      <c r="N320" s="3">
        <v>-14.9316</v>
      </c>
    </row>
    <row r="321" spans="1:14" x14ac:dyDescent="0.2">
      <c r="A321" t="s">
        <v>100</v>
      </c>
      <c r="B321">
        <v>2013</v>
      </c>
      <c r="C321">
        <v>64</v>
      </c>
      <c r="D321">
        <v>13</v>
      </c>
      <c r="E321" s="3">
        <v>25.568650000000002</v>
      </c>
      <c r="F321" s="3">
        <v>17.3</v>
      </c>
      <c r="G321" s="3">
        <v>8.2687000000000008</v>
      </c>
      <c r="H321" s="3">
        <v>4.9283000000000001</v>
      </c>
      <c r="I321" s="3">
        <v>16.29</v>
      </c>
      <c r="J321">
        <v>12</v>
      </c>
      <c r="K321">
        <v>1</v>
      </c>
      <c r="L321">
        <v>0.93500000000000005</v>
      </c>
      <c r="M321">
        <v>0.94599999999999995</v>
      </c>
      <c r="N321" s="3">
        <v>-8.2687000000000008</v>
      </c>
    </row>
    <row r="322" spans="1:14" x14ac:dyDescent="0.2">
      <c r="A322" t="s">
        <v>101</v>
      </c>
      <c r="B322">
        <v>2013</v>
      </c>
      <c r="C322">
        <v>64</v>
      </c>
      <c r="D322">
        <v>13</v>
      </c>
      <c r="E322" s="3">
        <v>18.809470000000001</v>
      </c>
      <c r="F322" s="3">
        <v>4.4429999999999996</v>
      </c>
      <c r="G322" s="3">
        <v>14.3666</v>
      </c>
      <c r="H322" s="3">
        <v>-6.7058</v>
      </c>
      <c r="I322" s="3">
        <v>-5.62</v>
      </c>
      <c r="J322">
        <v>-10</v>
      </c>
      <c r="K322">
        <v>0</v>
      </c>
      <c r="L322">
        <v>0.89600000000000002</v>
      </c>
      <c r="M322">
        <v>0.89700000000000002</v>
      </c>
      <c r="N322" s="3">
        <v>-14.3666</v>
      </c>
    </row>
    <row r="323" spans="1:14" x14ac:dyDescent="0.2">
      <c r="A323" t="s">
        <v>103</v>
      </c>
      <c r="B323">
        <v>2013</v>
      </c>
      <c r="C323">
        <v>64</v>
      </c>
      <c r="D323">
        <v>13</v>
      </c>
      <c r="E323" s="3">
        <v>17.315860000000001</v>
      </c>
      <c r="F323" s="3">
        <v>-0.157</v>
      </c>
      <c r="G323" s="3">
        <v>17.471900000000002</v>
      </c>
      <c r="H323" s="3">
        <v>-6.4236000000000004</v>
      </c>
      <c r="I323" s="3">
        <v>-3.86</v>
      </c>
      <c r="J323">
        <v>25</v>
      </c>
      <c r="K323">
        <v>1</v>
      </c>
      <c r="L323">
        <v>0.89800000000000002</v>
      </c>
      <c r="M323">
        <v>0.93799999999999994</v>
      </c>
      <c r="N323" s="3">
        <v>-17.471900000000002</v>
      </c>
    </row>
    <row r="324" spans="1:14" x14ac:dyDescent="0.2">
      <c r="A324" t="s">
        <v>102</v>
      </c>
      <c r="B324">
        <v>2013</v>
      </c>
      <c r="C324">
        <v>64</v>
      </c>
      <c r="D324">
        <v>13</v>
      </c>
      <c r="E324" s="3">
        <v>16.745439999999999</v>
      </c>
      <c r="F324" s="3">
        <v>6.173</v>
      </c>
      <c r="G324" s="3">
        <v>10.5723</v>
      </c>
      <c r="H324" s="3">
        <v>-0.29659999999999997</v>
      </c>
      <c r="I324" s="3">
        <v>-3.65</v>
      </c>
      <c r="J324">
        <v>29</v>
      </c>
      <c r="K324">
        <v>1</v>
      </c>
      <c r="L324">
        <v>0.875</v>
      </c>
      <c r="M324">
        <v>0.89900000000000002</v>
      </c>
      <c r="N324" s="3">
        <v>-10.5723</v>
      </c>
    </row>
    <row r="325" spans="1:14" x14ac:dyDescent="0.2">
      <c r="A325" t="s">
        <v>105</v>
      </c>
      <c r="B325">
        <v>2013</v>
      </c>
      <c r="C325">
        <v>64</v>
      </c>
      <c r="D325">
        <v>11</v>
      </c>
      <c r="E325" s="3">
        <v>28.795539999999999</v>
      </c>
      <c r="F325" s="3">
        <v>11.276</v>
      </c>
      <c r="G325" s="3">
        <v>17.5198</v>
      </c>
      <c r="H325" s="3">
        <v>-10.722</v>
      </c>
      <c r="I325" s="3">
        <v>1</v>
      </c>
      <c r="J325">
        <v>32</v>
      </c>
      <c r="K325">
        <v>1</v>
      </c>
      <c r="L325">
        <v>0.96399999999999997</v>
      </c>
      <c r="M325">
        <v>0.94799999999999995</v>
      </c>
      <c r="N325" s="3">
        <v>-17.5198</v>
      </c>
    </row>
    <row r="326" spans="1:14" x14ac:dyDescent="0.2">
      <c r="A326" t="s">
        <v>107</v>
      </c>
      <c r="B326">
        <v>2013</v>
      </c>
      <c r="C326">
        <v>64</v>
      </c>
      <c r="D326">
        <v>11</v>
      </c>
      <c r="E326" s="3">
        <v>13.800879999999999</v>
      </c>
      <c r="F326" s="3">
        <v>2.3980000000000001</v>
      </c>
      <c r="G326" s="3">
        <v>11.402799999999999</v>
      </c>
      <c r="H326" s="3">
        <v>0.64459999999999995</v>
      </c>
      <c r="I326" s="3">
        <v>1.89</v>
      </c>
      <c r="J326">
        <v>-6</v>
      </c>
      <c r="K326">
        <v>0</v>
      </c>
      <c r="L326">
        <v>0.83299999999999996</v>
      </c>
      <c r="M326">
        <v>0.874</v>
      </c>
      <c r="N326" s="3">
        <v>-11.402799999999999</v>
      </c>
    </row>
    <row r="327" spans="1:14" x14ac:dyDescent="0.2">
      <c r="A327" t="s">
        <v>104</v>
      </c>
      <c r="B327">
        <v>2013</v>
      </c>
      <c r="C327">
        <v>64</v>
      </c>
      <c r="D327">
        <v>11</v>
      </c>
      <c r="E327" s="3">
        <v>11.32</v>
      </c>
      <c r="F327" s="3">
        <v>1.5960000000000001</v>
      </c>
      <c r="G327" s="3">
        <v>9.7240000000000002</v>
      </c>
      <c r="H327" s="3">
        <v>-1.1609</v>
      </c>
      <c r="I327" s="3">
        <v>5.81</v>
      </c>
      <c r="J327">
        <v>11</v>
      </c>
      <c r="K327">
        <v>1</v>
      </c>
      <c r="L327">
        <v>0.8</v>
      </c>
      <c r="M327">
        <v>0.83</v>
      </c>
      <c r="N327" s="3">
        <v>-9.7240000000000002</v>
      </c>
    </row>
    <row r="328" spans="1:14" x14ac:dyDescent="0.2">
      <c r="A328" t="s">
        <v>106</v>
      </c>
      <c r="B328">
        <v>2013</v>
      </c>
      <c r="C328">
        <v>64</v>
      </c>
      <c r="D328">
        <v>11</v>
      </c>
      <c r="E328" s="3">
        <v>7.4837999999999996</v>
      </c>
      <c r="F328" s="3">
        <v>1.5529999999999999</v>
      </c>
      <c r="G328" s="3">
        <v>5.9314</v>
      </c>
      <c r="H328" s="3">
        <v>-0.46879999999999999</v>
      </c>
      <c r="I328" s="3">
        <v>5.73</v>
      </c>
      <c r="J328">
        <v>1</v>
      </c>
      <c r="K328">
        <v>1</v>
      </c>
      <c r="L328">
        <v>0.65800000000000003</v>
      </c>
      <c r="M328">
        <v>0.65500000000000003</v>
      </c>
      <c r="N328" s="3">
        <v>-5.9314</v>
      </c>
    </row>
    <row r="329" spans="1:14" x14ac:dyDescent="0.2">
      <c r="A329" t="s">
        <v>109</v>
      </c>
      <c r="B329">
        <v>2013</v>
      </c>
      <c r="C329">
        <v>64</v>
      </c>
      <c r="D329">
        <v>9</v>
      </c>
      <c r="E329" s="3">
        <v>17.82461</v>
      </c>
      <c r="F329" s="3">
        <v>8.282</v>
      </c>
      <c r="G329" s="3">
        <v>9.5425000000000004</v>
      </c>
      <c r="H329" s="3">
        <v>0.87609999999999999</v>
      </c>
      <c r="I329" s="3">
        <v>-1.37</v>
      </c>
      <c r="J329">
        <v>15</v>
      </c>
      <c r="K329">
        <v>1</v>
      </c>
      <c r="L329">
        <v>0.86599999999999999</v>
      </c>
      <c r="M329">
        <v>0.90200000000000002</v>
      </c>
      <c r="N329" s="3">
        <v>-9.5425000000000004</v>
      </c>
    </row>
    <row r="330" spans="1:14" x14ac:dyDescent="0.2">
      <c r="A330" t="s">
        <v>110</v>
      </c>
      <c r="B330">
        <v>2013</v>
      </c>
      <c r="C330">
        <v>64</v>
      </c>
      <c r="D330">
        <v>9</v>
      </c>
      <c r="E330" s="3">
        <v>19.85361</v>
      </c>
      <c r="F330" s="3">
        <v>8.9770000000000003</v>
      </c>
      <c r="G330" s="3">
        <v>10.8764</v>
      </c>
      <c r="H330" s="3">
        <v>0.8327</v>
      </c>
      <c r="I330" s="3">
        <v>-6.68</v>
      </c>
      <c r="J330">
        <v>47</v>
      </c>
      <c r="K330">
        <v>1</v>
      </c>
      <c r="L330">
        <v>0.90700000000000003</v>
      </c>
      <c r="M330">
        <v>0.874</v>
      </c>
      <c r="N330" s="3">
        <v>-10.8764</v>
      </c>
    </row>
    <row r="331" spans="1:14" x14ac:dyDescent="0.2">
      <c r="A331" t="s">
        <v>108</v>
      </c>
      <c r="B331">
        <v>2013</v>
      </c>
      <c r="C331">
        <v>64</v>
      </c>
      <c r="D331">
        <v>9</v>
      </c>
      <c r="E331" s="3">
        <v>11.42459</v>
      </c>
      <c r="F331" s="3">
        <v>3.3849999999999998</v>
      </c>
      <c r="G331" s="3">
        <v>8.0396999999999998</v>
      </c>
      <c r="H331" s="3">
        <v>-0.1191</v>
      </c>
      <c r="I331" s="3">
        <v>-3.67</v>
      </c>
      <c r="J331">
        <v>20</v>
      </c>
      <c r="K331">
        <v>1</v>
      </c>
      <c r="L331">
        <v>0.78</v>
      </c>
      <c r="M331">
        <v>0.76200000000000001</v>
      </c>
      <c r="N331" s="3">
        <v>-8.0396999999999998</v>
      </c>
    </row>
    <row r="332" spans="1:14" x14ac:dyDescent="0.2">
      <c r="A332" t="s">
        <v>111</v>
      </c>
      <c r="B332">
        <v>2013</v>
      </c>
      <c r="C332">
        <v>64</v>
      </c>
      <c r="D332">
        <v>9</v>
      </c>
      <c r="E332" s="3">
        <v>4.9564000000000004</v>
      </c>
      <c r="F332" s="3">
        <v>2.7450000000000001</v>
      </c>
      <c r="G332" s="3">
        <v>2.2121</v>
      </c>
      <c r="H332" s="3">
        <v>-3.3752</v>
      </c>
      <c r="I332" s="3">
        <v>0.2</v>
      </c>
      <c r="J332">
        <v>-2</v>
      </c>
      <c r="K332">
        <v>0</v>
      </c>
      <c r="L332">
        <v>0.57999999999999996</v>
      </c>
      <c r="M332">
        <v>0.78200000000000003</v>
      </c>
      <c r="N332" s="3">
        <v>-2.2121</v>
      </c>
    </row>
    <row r="333" spans="1:14" x14ac:dyDescent="0.2">
      <c r="A333" t="s">
        <v>115</v>
      </c>
      <c r="B333">
        <v>2013</v>
      </c>
      <c r="C333">
        <v>64</v>
      </c>
      <c r="D333">
        <v>7</v>
      </c>
      <c r="E333" s="3">
        <v>6.4856999999999996</v>
      </c>
      <c r="F333" s="3">
        <v>-3.5089999999999999</v>
      </c>
      <c r="G333" s="3">
        <v>9.9953000000000003</v>
      </c>
      <c r="H333" s="3">
        <v>-8.7813999999999997</v>
      </c>
      <c r="I333" s="3">
        <v>6.35</v>
      </c>
      <c r="J333">
        <v>-11</v>
      </c>
      <c r="K333">
        <v>0</v>
      </c>
      <c r="L333">
        <v>0.70699999999999996</v>
      </c>
      <c r="M333">
        <v>0.75600000000000001</v>
      </c>
      <c r="N333" s="3">
        <v>-9.9953000000000003</v>
      </c>
    </row>
    <row r="334" spans="1:14" x14ac:dyDescent="0.2">
      <c r="A334" t="s">
        <v>112</v>
      </c>
      <c r="B334">
        <v>2013</v>
      </c>
      <c r="C334">
        <v>64</v>
      </c>
      <c r="D334">
        <v>7</v>
      </c>
      <c r="E334" s="3">
        <v>4.5568999999999997</v>
      </c>
      <c r="F334" s="3">
        <v>4.1349999999999998</v>
      </c>
      <c r="G334" s="3">
        <v>0.42170000000000002</v>
      </c>
      <c r="H334" s="3">
        <v>-1.7402</v>
      </c>
      <c r="I334" s="3">
        <v>4.76</v>
      </c>
      <c r="J334">
        <v>-13</v>
      </c>
      <c r="K334">
        <v>0</v>
      </c>
      <c r="L334">
        <v>0.61599999999999999</v>
      </c>
      <c r="M334">
        <v>0.60499999999999998</v>
      </c>
      <c r="N334" s="3">
        <v>-0.42170000000000002</v>
      </c>
    </row>
    <row r="335" spans="1:14" x14ac:dyDescent="0.2">
      <c r="A335" t="s">
        <v>113</v>
      </c>
      <c r="B335">
        <v>2013</v>
      </c>
      <c r="C335">
        <v>64</v>
      </c>
      <c r="D335">
        <v>7</v>
      </c>
      <c r="E335" s="3">
        <v>5.5868000000000002</v>
      </c>
      <c r="F335" s="3">
        <v>5.9459999999999997</v>
      </c>
      <c r="G335" s="3">
        <v>-0.35949999999999999</v>
      </c>
      <c r="H335" s="3">
        <v>1.1396999999999999</v>
      </c>
      <c r="I335" s="3">
        <v>-0.14000000000000001</v>
      </c>
      <c r="J335">
        <v>46</v>
      </c>
      <c r="K335">
        <v>1</v>
      </c>
      <c r="L335">
        <v>0.66100000000000003</v>
      </c>
      <c r="M335">
        <v>0.71099999999999997</v>
      </c>
      <c r="N335" s="3">
        <v>0.35949999999999999</v>
      </c>
    </row>
    <row r="336" spans="1:14" x14ac:dyDescent="0.2">
      <c r="A336" t="s">
        <v>114</v>
      </c>
      <c r="B336">
        <v>2013</v>
      </c>
      <c r="C336">
        <v>64</v>
      </c>
      <c r="D336">
        <v>7</v>
      </c>
      <c r="E336" s="3">
        <v>4.4955999999999996</v>
      </c>
      <c r="F336" s="3">
        <v>-0.57599999999999996</v>
      </c>
      <c r="G336" s="3">
        <v>5.0713999999999997</v>
      </c>
      <c r="H336" s="3">
        <v>3.1762999999999999</v>
      </c>
      <c r="I336" s="3">
        <v>-2.36</v>
      </c>
      <c r="J336">
        <v>-3</v>
      </c>
      <c r="K336">
        <v>0</v>
      </c>
      <c r="L336">
        <v>0.61599999999999999</v>
      </c>
      <c r="M336">
        <v>0.67200000000000004</v>
      </c>
      <c r="N336" s="3">
        <v>-5.0713999999999997</v>
      </c>
    </row>
    <row r="337" spans="1:14" x14ac:dyDescent="0.2">
      <c r="A337" t="s">
        <v>119</v>
      </c>
      <c r="B337">
        <v>2013</v>
      </c>
      <c r="C337">
        <v>64</v>
      </c>
      <c r="D337">
        <v>5</v>
      </c>
      <c r="E337" s="3">
        <v>4.7797999999999998</v>
      </c>
      <c r="F337" s="3">
        <v>2.665</v>
      </c>
      <c r="G337" s="3">
        <v>2.1150000000000002</v>
      </c>
      <c r="H337" s="3">
        <v>-0.36</v>
      </c>
      <c r="I337" s="3">
        <v>-1.59</v>
      </c>
      <c r="J337">
        <v>17</v>
      </c>
      <c r="K337">
        <v>1</v>
      </c>
      <c r="L337">
        <v>0.628</v>
      </c>
      <c r="M337">
        <v>0.71699999999999997</v>
      </c>
      <c r="N337" s="3">
        <v>-2.1150000000000002</v>
      </c>
    </row>
    <row r="338" spans="1:14" x14ac:dyDescent="0.2">
      <c r="A338" t="s">
        <v>118</v>
      </c>
      <c r="B338">
        <v>2013</v>
      </c>
      <c r="C338">
        <v>64</v>
      </c>
      <c r="D338">
        <v>5</v>
      </c>
      <c r="E338" s="3">
        <v>1.3652</v>
      </c>
      <c r="F338" s="3">
        <v>2.1890000000000001</v>
      </c>
      <c r="G338" s="3">
        <v>-0.82420000000000004</v>
      </c>
      <c r="H338" s="3">
        <v>1.5669999999999999</v>
      </c>
      <c r="I338" s="3">
        <v>3.74</v>
      </c>
      <c r="J338">
        <v>12</v>
      </c>
      <c r="K338">
        <v>1</v>
      </c>
      <c r="L338">
        <v>0.54300000000000004</v>
      </c>
      <c r="M338">
        <v>0.627</v>
      </c>
      <c r="N338" s="3">
        <v>0.82420000000000004</v>
      </c>
    </row>
    <row r="339" spans="1:14" x14ac:dyDescent="0.2">
      <c r="A339" t="s">
        <v>116</v>
      </c>
      <c r="B339">
        <v>2013</v>
      </c>
      <c r="C339">
        <v>64</v>
      </c>
      <c r="D339">
        <v>5</v>
      </c>
      <c r="E339" s="3">
        <v>-2.2265999999999999</v>
      </c>
      <c r="F339" s="3">
        <v>-8.0660000000000007</v>
      </c>
      <c r="G339" s="3">
        <v>5.8399000000000001</v>
      </c>
      <c r="H339" s="3">
        <v>5.0598000000000001</v>
      </c>
      <c r="I339" s="3">
        <v>1.66</v>
      </c>
      <c r="J339">
        <v>2</v>
      </c>
      <c r="K339">
        <v>1</v>
      </c>
      <c r="L339">
        <v>0.4</v>
      </c>
      <c r="M339">
        <v>0.58799999999999997</v>
      </c>
      <c r="N339" s="3">
        <v>-5.8399000000000001</v>
      </c>
    </row>
    <row r="340" spans="1:14" x14ac:dyDescent="0.2">
      <c r="A340" t="s">
        <v>117</v>
      </c>
      <c r="B340">
        <v>2013</v>
      </c>
      <c r="C340">
        <v>64</v>
      </c>
      <c r="D340">
        <v>5</v>
      </c>
      <c r="E340" s="3">
        <v>-3.9817999999999998</v>
      </c>
      <c r="F340" s="3">
        <v>-2.3250000000000002</v>
      </c>
      <c r="G340" s="3">
        <v>-1.6569</v>
      </c>
      <c r="H340" s="3">
        <v>6.3003</v>
      </c>
      <c r="I340" s="3">
        <v>-0.73</v>
      </c>
      <c r="J340">
        <v>-20</v>
      </c>
      <c r="K340">
        <v>0</v>
      </c>
      <c r="L340">
        <v>0.39300000000000002</v>
      </c>
      <c r="M340">
        <v>0.38100000000000001</v>
      </c>
      <c r="N340" s="3">
        <v>1.6569</v>
      </c>
    </row>
    <row r="341" spans="1:14" x14ac:dyDescent="0.2">
      <c r="A341" t="s">
        <v>120</v>
      </c>
      <c r="B341">
        <v>2013</v>
      </c>
      <c r="C341">
        <v>64</v>
      </c>
      <c r="D341">
        <v>3</v>
      </c>
      <c r="E341" s="3">
        <v>6.6391</v>
      </c>
      <c r="F341" s="3">
        <v>13.595000000000001</v>
      </c>
      <c r="G341" s="3">
        <v>-6.9557000000000002</v>
      </c>
      <c r="H341" s="3">
        <v>0.83120000000000005</v>
      </c>
      <c r="I341" s="3">
        <v>5.7</v>
      </c>
      <c r="J341">
        <v>4</v>
      </c>
      <c r="K341">
        <v>1</v>
      </c>
      <c r="L341">
        <v>0.63800000000000001</v>
      </c>
      <c r="M341">
        <v>0.58499999999999996</v>
      </c>
      <c r="N341" s="3">
        <v>6.9557000000000002</v>
      </c>
    </row>
    <row r="342" spans="1:14" x14ac:dyDescent="0.2">
      <c r="A342" t="s">
        <v>142</v>
      </c>
      <c r="B342">
        <v>2013</v>
      </c>
      <c r="C342">
        <v>64</v>
      </c>
      <c r="D342">
        <v>3</v>
      </c>
      <c r="E342" s="3">
        <v>4.2626999999999997</v>
      </c>
      <c r="F342" s="3">
        <v>-3.702</v>
      </c>
      <c r="G342" s="3">
        <v>7.9640000000000004</v>
      </c>
      <c r="H342" s="3">
        <v>0.18590000000000001</v>
      </c>
      <c r="I342" s="3">
        <v>-0.03</v>
      </c>
      <c r="J342">
        <v>15</v>
      </c>
      <c r="K342">
        <v>1</v>
      </c>
      <c r="L342">
        <v>0.60699999999999998</v>
      </c>
      <c r="M342">
        <v>0.56100000000000005</v>
      </c>
      <c r="N342" s="3">
        <v>-7.9640000000000004</v>
      </c>
    </row>
    <row r="343" spans="1:14" x14ac:dyDescent="0.2">
      <c r="A343" t="s">
        <v>122</v>
      </c>
      <c r="B343">
        <v>2013</v>
      </c>
      <c r="C343">
        <v>64</v>
      </c>
      <c r="D343">
        <v>3</v>
      </c>
      <c r="E343" s="3">
        <v>1.1440999999999999</v>
      </c>
      <c r="F343" s="3">
        <v>-1.3480000000000001</v>
      </c>
      <c r="G343" s="3">
        <v>2.4921000000000002</v>
      </c>
      <c r="H343" s="3">
        <v>-7.9675000000000002</v>
      </c>
      <c r="I343" s="3">
        <v>-1.22</v>
      </c>
      <c r="J343">
        <v>-18</v>
      </c>
      <c r="K343">
        <v>0</v>
      </c>
      <c r="L343">
        <v>0.52500000000000002</v>
      </c>
      <c r="M343">
        <v>0.6</v>
      </c>
      <c r="N343" s="3">
        <v>-2.4921000000000002</v>
      </c>
    </row>
    <row r="344" spans="1:14" x14ac:dyDescent="0.2">
      <c r="A344" t="s">
        <v>121</v>
      </c>
      <c r="B344">
        <v>2013</v>
      </c>
      <c r="C344">
        <v>64</v>
      </c>
      <c r="D344">
        <v>3</v>
      </c>
      <c r="E344" s="3">
        <v>0.34389999999999998</v>
      </c>
      <c r="F344" s="3">
        <v>3.2269999999999999</v>
      </c>
      <c r="G344" s="3">
        <v>-2.8826999999999998</v>
      </c>
      <c r="H344" s="3">
        <v>1.2310000000000001</v>
      </c>
      <c r="I344" s="3">
        <v>-3.09</v>
      </c>
      <c r="J344">
        <v>8</v>
      </c>
      <c r="K344">
        <v>1</v>
      </c>
      <c r="L344">
        <v>0.52600000000000002</v>
      </c>
      <c r="M344">
        <v>0.504</v>
      </c>
      <c r="N344" s="3">
        <v>2.8826999999999998</v>
      </c>
    </row>
    <row r="345" spans="1:14" x14ac:dyDescent="0.2">
      <c r="A345" t="s">
        <v>125</v>
      </c>
      <c r="B345">
        <v>2013</v>
      </c>
      <c r="C345">
        <v>64</v>
      </c>
      <c r="D345">
        <v>1</v>
      </c>
      <c r="E345" s="3">
        <v>5.4436999999999998</v>
      </c>
      <c r="F345" s="3">
        <v>5.3079999999999998</v>
      </c>
      <c r="G345" s="3">
        <v>0.1353</v>
      </c>
      <c r="H345" s="3">
        <v>1.0539000000000001</v>
      </c>
      <c r="I345" s="3">
        <v>0.12</v>
      </c>
      <c r="J345">
        <v>-4</v>
      </c>
      <c r="K345">
        <v>0</v>
      </c>
      <c r="L345">
        <v>0.64900000000000002</v>
      </c>
      <c r="M345">
        <v>0.70099999999999996</v>
      </c>
      <c r="N345" s="3">
        <v>-0.1353</v>
      </c>
    </row>
    <row r="346" spans="1:14" x14ac:dyDescent="0.2">
      <c r="A346" t="s">
        <v>126</v>
      </c>
      <c r="B346">
        <v>2013</v>
      </c>
      <c r="C346">
        <v>64</v>
      </c>
      <c r="D346">
        <v>1</v>
      </c>
      <c r="E346" s="3">
        <v>7.7119</v>
      </c>
      <c r="F346" s="3">
        <v>6.335</v>
      </c>
      <c r="G346" s="3">
        <v>1.377</v>
      </c>
      <c r="H346" s="3">
        <v>-4.2694999999999999</v>
      </c>
      <c r="I346" s="3">
        <v>-7.35</v>
      </c>
      <c r="J346">
        <v>-18</v>
      </c>
      <c r="K346">
        <v>0</v>
      </c>
      <c r="L346">
        <v>0.72499999999999998</v>
      </c>
      <c r="M346">
        <v>0.621</v>
      </c>
      <c r="N346" s="3">
        <v>-1.377</v>
      </c>
    </row>
    <row r="347" spans="1:14" x14ac:dyDescent="0.2">
      <c r="A347" t="s">
        <v>124</v>
      </c>
      <c r="B347">
        <v>2013</v>
      </c>
      <c r="C347">
        <v>64</v>
      </c>
      <c r="D347">
        <v>1</v>
      </c>
      <c r="E347" s="3">
        <v>3.5476000000000001</v>
      </c>
      <c r="F347" s="3">
        <v>6.4210000000000003</v>
      </c>
      <c r="G347" s="3">
        <v>-2.8734999999999999</v>
      </c>
      <c r="H347" s="3">
        <v>3.1107</v>
      </c>
      <c r="I347" s="3">
        <v>-0.35</v>
      </c>
      <c r="J347">
        <v>7</v>
      </c>
      <c r="K347">
        <v>1</v>
      </c>
      <c r="L347">
        <v>0.57799999999999996</v>
      </c>
      <c r="M347">
        <v>0.67</v>
      </c>
      <c r="N347" s="3">
        <v>2.8734999999999999</v>
      </c>
    </row>
    <row r="348" spans="1:14" x14ac:dyDescent="0.2">
      <c r="A348" t="s">
        <v>123</v>
      </c>
      <c r="B348">
        <v>2013</v>
      </c>
      <c r="C348">
        <v>64</v>
      </c>
      <c r="D348">
        <v>1</v>
      </c>
      <c r="E348" s="3">
        <v>0.95699999999999996</v>
      </c>
      <c r="F348" s="3">
        <v>3.13</v>
      </c>
      <c r="G348" s="3">
        <v>-2.1722999999999999</v>
      </c>
      <c r="H348" s="3">
        <v>-2.5133999999999999</v>
      </c>
      <c r="I348" s="3">
        <v>-0.18</v>
      </c>
      <c r="J348">
        <v>12</v>
      </c>
      <c r="K348">
        <v>1</v>
      </c>
      <c r="L348">
        <v>0.47</v>
      </c>
      <c r="M348">
        <v>0.36599999999999999</v>
      </c>
      <c r="N348" s="3">
        <v>2.1722999999999999</v>
      </c>
    </row>
    <row r="349" spans="1:14" x14ac:dyDescent="0.2">
      <c r="A349" t="s">
        <v>136</v>
      </c>
      <c r="B349">
        <v>2013</v>
      </c>
      <c r="C349">
        <v>32</v>
      </c>
      <c r="D349">
        <v>8</v>
      </c>
      <c r="E349" s="3">
        <v>12.16</v>
      </c>
      <c r="F349" s="3">
        <v>3.8</v>
      </c>
      <c r="G349" s="3">
        <v>8.1999999999999993</v>
      </c>
      <c r="H349" s="3">
        <v>-0.8</v>
      </c>
      <c r="I349" s="3">
        <v>4.88</v>
      </c>
      <c r="J349">
        <v>14</v>
      </c>
      <c r="K349">
        <v>1</v>
      </c>
      <c r="L349">
        <v>0.81699999999999995</v>
      </c>
      <c r="M349">
        <v>0.81299999999999994</v>
      </c>
      <c r="N349" s="3">
        <v>-8.1999999999999993</v>
      </c>
    </row>
    <row r="350" spans="1:14" x14ac:dyDescent="0.2">
      <c r="A350" t="s">
        <v>132</v>
      </c>
      <c r="B350">
        <v>2013</v>
      </c>
      <c r="C350">
        <v>32</v>
      </c>
      <c r="D350">
        <v>8</v>
      </c>
      <c r="E350" s="3">
        <v>17.739999999999998</v>
      </c>
      <c r="F350" s="3">
        <v>11.6</v>
      </c>
      <c r="G350" s="3">
        <v>16.2</v>
      </c>
      <c r="H350" s="3">
        <v>0.5</v>
      </c>
      <c r="I350" s="3">
        <v>-3.52</v>
      </c>
      <c r="J350">
        <v>6</v>
      </c>
      <c r="K350">
        <v>1</v>
      </c>
      <c r="L350">
        <v>0.88400000000000001</v>
      </c>
      <c r="M350">
        <v>0.91900000000000004</v>
      </c>
      <c r="N350" s="3">
        <v>-16.2</v>
      </c>
    </row>
    <row r="351" spans="1:14" x14ac:dyDescent="0.2">
      <c r="A351" t="s">
        <v>141</v>
      </c>
      <c r="B351">
        <v>2013</v>
      </c>
      <c r="C351">
        <v>32</v>
      </c>
      <c r="D351">
        <v>8</v>
      </c>
      <c r="E351" s="3">
        <v>13.81</v>
      </c>
      <c r="F351" s="3">
        <v>3.5</v>
      </c>
      <c r="G351" s="3">
        <v>10.1</v>
      </c>
      <c r="H351" s="3">
        <v>-2.5</v>
      </c>
      <c r="I351" s="3">
        <v>-1.08</v>
      </c>
      <c r="J351">
        <v>-10</v>
      </c>
      <c r="K351">
        <v>0</v>
      </c>
      <c r="L351">
        <v>0.79400000000000004</v>
      </c>
      <c r="M351">
        <v>0.70699999999999996</v>
      </c>
      <c r="N351" s="3">
        <v>-10.1</v>
      </c>
    </row>
    <row r="352" spans="1:14" x14ac:dyDescent="0.2">
      <c r="A352" t="s">
        <v>140</v>
      </c>
      <c r="B352">
        <v>2013</v>
      </c>
      <c r="C352">
        <v>32</v>
      </c>
      <c r="D352">
        <v>8</v>
      </c>
      <c r="E352" s="3">
        <v>13.3</v>
      </c>
      <c r="F352" s="3">
        <v>6</v>
      </c>
      <c r="G352" s="3">
        <v>7.2</v>
      </c>
      <c r="H352" s="3">
        <v>2.2999999999999998</v>
      </c>
      <c r="I352" s="3">
        <v>-0.54</v>
      </c>
      <c r="J352">
        <v>23</v>
      </c>
      <c r="K352">
        <v>1</v>
      </c>
      <c r="L352">
        <v>0.80900000000000005</v>
      </c>
      <c r="M352">
        <v>0.85299999999999998</v>
      </c>
      <c r="N352" s="3">
        <v>-7.2</v>
      </c>
    </row>
    <row r="353" spans="1:14" x14ac:dyDescent="0.2">
      <c r="A353" t="s">
        <v>133</v>
      </c>
      <c r="B353">
        <v>2013</v>
      </c>
      <c r="C353">
        <v>32</v>
      </c>
      <c r="D353">
        <v>8</v>
      </c>
      <c r="E353" s="3">
        <v>9.5</v>
      </c>
      <c r="F353" s="3">
        <v>10</v>
      </c>
      <c r="G353" s="3">
        <v>-0.5</v>
      </c>
      <c r="H353" s="3">
        <v>-0.3</v>
      </c>
      <c r="I353" s="3">
        <v>4.08</v>
      </c>
      <c r="J353">
        <v>-6</v>
      </c>
      <c r="K353">
        <v>0</v>
      </c>
      <c r="L353">
        <v>0.73499999999999999</v>
      </c>
      <c r="M353">
        <v>0.747</v>
      </c>
      <c r="N353" s="3">
        <v>0.5</v>
      </c>
    </row>
    <row r="354" spans="1:14" x14ac:dyDescent="0.2">
      <c r="A354" t="s">
        <v>139</v>
      </c>
      <c r="B354">
        <v>2013</v>
      </c>
      <c r="C354">
        <v>32</v>
      </c>
      <c r="D354">
        <v>8</v>
      </c>
      <c r="E354" s="3">
        <v>10.24</v>
      </c>
      <c r="F354" s="3">
        <v>7.2</v>
      </c>
      <c r="G354" s="3">
        <v>3.1</v>
      </c>
      <c r="H354" s="3">
        <v>-1.4</v>
      </c>
      <c r="I354" s="3">
        <v>-4.72</v>
      </c>
      <c r="J354">
        <v>6</v>
      </c>
      <c r="K354">
        <v>1</v>
      </c>
      <c r="L354">
        <v>0.78400000000000003</v>
      </c>
      <c r="M354">
        <v>0.75</v>
      </c>
      <c r="N354" s="3">
        <v>-3.1</v>
      </c>
    </row>
    <row r="355" spans="1:14" x14ac:dyDescent="0.2">
      <c r="A355" t="s">
        <v>135</v>
      </c>
      <c r="B355">
        <v>2013</v>
      </c>
      <c r="C355">
        <v>32</v>
      </c>
      <c r="D355">
        <v>8</v>
      </c>
      <c r="E355" s="3">
        <v>8.76</v>
      </c>
      <c r="F355" s="3">
        <v>-2</v>
      </c>
      <c r="G355" s="3">
        <v>11.1</v>
      </c>
      <c r="H355" s="3">
        <v>-5</v>
      </c>
      <c r="I355" s="3">
        <v>-0.43</v>
      </c>
      <c r="J355">
        <v>3</v>
      </c>
      <c r="K355">
        <v>1</v>
      </c>
      <c r="L355">
        <v>0.75</v>
      </c>
      <c r="M355">
        <v>0.81599999999999995</v>
      </c>
      <c r="N355" s="3">
        <v>-11.1</v>
      </c>
    </row>
    <row r="356" spans="1:14" x14ac:dyDescent="0.2">
      <c r="A356" t="s">
        <v>128</v>
      </c>
      <c r="B356">
        <v>2013</v>
      </c>
      <c r="C356">
        <v>32</v>
      </c>
      <c r="D356">
        <v>8</v>
      </c>
      <c r="E356" s="3">
        <v>5.76</v>
      </c>
      <c r="F356" s="3">
        <v>3.6</v>
      </c>
      <c r="G356" s="3">
        <v>2.2000000000000002</v>
      </c>
      <c r="H356" s="3">
        <v>-4.0999999999999996</v>
      </c>
      <c r="I356" s="3">
        <v>4.3499999999999996</v>
      </c>
      <c r="J356">
        <v>-17</v>
      </c>
      <c r="K356">
        <v>0</v>
      </c>
      <c r="L356">
        <v>0.66400000000000003</v>
      </c>
      <c r="M356">
        <v>0.626</v>
      </c>
      <c r="N356" s="3">
        <v>-2.2000000000000002</v>
      </c>
    </row>
    <row r="357" spans="1:14" x14ac:dyDescent="0.2">
      <c r="A357" t="s">
        <v>127</v>
      </c>
      <c r="B357">
        <v>2013</v>
      </c>
      <c r="C357">
        <v>32</v>
      </c>
      <c r="D357">
        <v>7</v>
      </c>
      <c r="E357" s="3">
        <v>10.6</v>
      </c>
      <c r="F357" s="3">
        <v>-4</v>
      </c>
      <c r="G357" s="3">
        <v>14.6</v>
      </c>
      <c r="H357" s="3">
        <v>2.2000000000000002</v>
      </c>
      <c r="I357" s="3">
        <v>3.1</v>
      </c>
      <c r="J357">
        <v>26</v>
      </c>
      <c r="K357">
        <v>1</v>
      </c>
      <c r="L357">
        <v>0.82099999999999995</v>
      </c>
      <c r="M357">
        <v>0.90100000000000002</v>
      </c>
      <c r="N357" s="3">
        <v>-14.6</v>
      </c>
    </row>
    <row r="358" spans="1:14" x14ac:dyDescent="0.2">
      <c r="A358" t="s">
        <v>131</v>
      </c>
      <c r="B358">
        <v>2013</v>
      </c>
      <c r="C358">
        <v>32</v>
      </c>
      <c r="D358">
        <v>7</v>
      </c>
      <c r="E358" s="3">
        <v>7.18</v>
      </c>
      <c r="F358" s="3">
        <v>-0.1</v>
      </c>
      <c r="G358" s="3">
        <v>7.4</v>
      </c>
      <c r="H358" s="3">
        <v>-3.2</v>
      </c>
      <c r="I358" s="3">
        <v>5.62</v>
      </c>
      <c r="J358">
        <v>12</v>
      </c>
      <c r="K358">
        <v>1</v>
      </c>
      <c r="L358">
        <v>0.67100000000000004</v>
      </c>
      <c r="M358">
        <v>0.77800000000000002</v>
      </c>
      <c r="N358" s="3">
        <v>-7.4</v>
      </c>
    </row>
    <row r="359" spans="1:14" x14ac:dyDescent="0.2">
      <c r="A359" t="s">
        <v>134</v>
      </c>
      <c r="B359">
        <v>2013</v>
      </c>
      <c r="C359">
        <v>32</v>
      </c>
      <c r="D359">
        <v>5</v>
      </c>
      <c r="E359" s="3">
        <v>7.35</v>
      </c>
      <c r="F359" s="3">
        <v>3.1</v>
      </c>
      <c r="G359" s="3">
        <v>4</v>
      </c>
      <c r="H359" s="3">
        <v>-2.8</v>
      </c>
      <c r="I359" s="3">
        <v>3.39</v>
      </c>
      <c r="J359">
        <v>4</v>
      </c>
      <c r="K359">
        <v>1</v>
      </c>
      <c r="L359">
        <v>0.68700000000000006</v>
      </c>
      <c r="M359">
        <v>0.72599999999999998</v>
      </c>
      <c r="N359" s="3">
        <v>-4</v>
      </c>
    </row>
    <row r="360" spans="1:14" x14ac:dyDescent="0.2">
      <c r="A360" t="s">
        <v>130</v>
      </c>
      <c r="B360">
        <v>2013</v>
      </c>
      <c r="C360">
        <v>32</v>
      </c>
      <c r="D360">
        <v>5</v>
      </c>
      <c r="E360" s="3">
        <v>4.5599999999999996</v>
      </c>
      <c r="F360" s="3">
        <v>0.3</v>
      </c>
      <c r="G360" s="3">
        <v>4</v>
      </c>
      <c r="H360" s="3">
        <v>2.9</v>
      </c>
      <c r="I360" s="3">
        <v>5.85</v>
      </c>
      <c r="J360">
        <v>16</v>
      </c>
      <c r="K360">
        <v>1</v>
      </c>
      <c r="L360">
        <v>0.63700000000000001</v>
      </c>
      <c r="M360">
        <v>0.71099999999999997</v>
      </c>
      <c r="N360" s="3">
        <v>-4</v>
      </c>
    </row>
    <row r="361" spans="1:14" x14ac:dyDescent="0.2">
      <c r="A361" t="s">
        <v>129</v>
      </c>
      <c r="B361">
        <v>2013</v>
      </c>
      <c r="C361">
        <v>32</v>
      </c>
      <c r="D361">
        <v>3</v>
      </c>
      <c r="E361" s="3">
        <v>6.82</v>
      </c>
      <c r="F361" s="3">
        <v>4.9000000000000004</v>
      </c>
      <c r="G361" s="3">
        <v>2</v>
      </c>
      <c r="H361" s="3">
        <v>-5.0999999999999996</v>
      </c>
      <c r="I361" s="3">
        <v>-0.53</v>
      </c>
      <c r="J361">
        <v>22</v>
      </c>
      <c r="K361">
        <v>1</v>
      </c>
      <c r="L361">
        <v>0.70799999999999996</v>
      </c>
      <c r="M361">
        <v>0.69199999999999995</v>
      </c>
      <c r="N361" s="3">
        <v>-2</v>
      </c>
    </row>
    <row r="362" spans="1:14" x14ac:dyDescent="0.2">
      <c r="A362" t="s">
        <v>137</v>
      </c>
      <c r="B362">
        <v>2013</v>
      </c>
      <c r="C362">
        <v>32</v>
      </c>
      <c r="D362">
        <v>3</v>
      </c>
      <c r="E362" s="3">
        <v>2.3199999999999998</v>
      </c>
      <c r="F362" s="3">
        <v>2.9</v>
      </c>
      <c r="G362" s="3">
        <v>-0.6</v>
      </c>
      <c r="H362" s="3">
        <v>-0.1</v>
      </c>
      <c r="I362" s="3">
        <v>-3.28</v>
      </c>
      <c r="J362">
        <v>2</v>
      </c>
      <c r="K362">
        <v>1</v>
      </c>
      <c r="L362">
        <v>0.57999999999999996</v>
      </c>
      <c r="M362">
        <v>0.53400000000000003</v>
      </c>
      <c r="N362" s="3">
        <v>0.6</v>
      </c>
    </row>
    <row r="363" spans="1:14" x14ac:dyDescent="0.2">
      <c r="A363" t="s">
        <v>138</v>
      </c>
      <c r="B363">
        <v>2013</v>
      </c>
      <c r="C363">
        <v>32</v>
      </c>
      <c r="D363">
        <v>1</v>
      </c>
      <c r="E363" s="3">
        <v>3.95</v>
      </c>
      <c r="F363" s="3">
        <v>6</v>
      </c>
      <c r="G363" s="3">
        <v>-2</v>
      </c>
      <c r="H363" s="3">
        <v>-2.8</v>
      </c>
      <c r="I363" s="3">
        <v>-1.84</v>
      </c>
      <c r="J363">
        <v>25</v>
      </c>
      <c r="K363">
        <v>1</v>
      </c>
      <c r="L363">
        <v>0.53500000000000003</v>
      </c>
      <c r="M363">
        <v>0.58599999999999997</v>
      </c>
      <c r="N363" s="3">
        <v>2</v>
      </c>
    </row>
    <row r="364" spans="1:14" x14ac:dyDescent="0.2">
      <c r="A364" t="s">
        <v>144</v>
      </c>
      <c r="B364">
        <v>2013</v>
      </c>
      <c r="C364">
        <v>32</v>
      </c>
      <c r="D364">
        <v>1</v>
      </c>
      <c r="E364" s="3">
        <v>2.78</v>
      </c>
      <c r="F364" s="3">
        <v>0.4</v>
      </c>
      <c r="G364" s="3">
        <v>2.8</v>
      </c>
      <c r="H364" s="3">
        <v>4.7</v>
      </c>
      <c r="I364" s="3">
        <v>-5.15</v>
      </c>
      <c r="J364">
        <v>-2</v>
      </c>
      <c r="K364">
        <v>0</v>
      </c>
      <c r="L364">
        <v>0.58799999999999997</v>
      </c>
      <c r="M364">
        <v>0.627</v>
      </c>
      <c r="N364" s="3">
        <v>-2.8</v>
      </c>
    </row>
    <row r="365" spans="1:14" x14ac:dyDescent="0.2">
      <c r="A365" t="s">
        <v>151</v>
      </c>
      <c r="B365">
        <v>2013</v>
      </c>
      <c r="C365">
        <v>16</v>
      </c>
      <c r="D365">
        <v>12</v>
      </c>
      <c r="E365" s="3">
        <v>26.76</v>
      </c>
      <c r="F365" s="3">
        <v>13.8</v>
      </c>
      <c r="G365" s="3">
        <v>12.9</v>
      </c>
      <c r="H365" s="3">
        <v>-6.5</v>
      </c>
      <c r="I365" s="3">
        <v>4.3600000000000003</v>
      </c>
      <c r="J365">
        <v>12</v>
      </c>
      <c r="K365">
        <v>1</v>
      </c>
      <c r="L365">
        <v>0.94899999999999995</v>
      </c>
      <c r="M365">
        <v>0.94199999999999995</v>
      </c>
      <c r="N365" s="3">
        <v>-12.9</v>
      </c>
    </row>
    <row r="366" spans="1:14" x14ac:dyDescent="0.2">
      <c r="A366" t="s">
        <v>145</v>
      </c>
      <c r="B366">
        <v>2013</v>
      </c>
      <c r="C366">
        <v>16</v>
      </c>
      <c r="D366">
        <v>11</v>
      </c>
      <c r="E366" s="3">
        <v>15.23</v>
      </c>
      <c r="F366" s="3">
        <v>9.1</v>
      </c>
      <c r="G366" s="3">
        <v>6.4</v>
      </c>
      <c r="H366" s="3">
        <v>-2</v>
      </c>
      <c r="I366" s="3">
        <v>8.18</v>
      </c>
      <c r="J366">
        <v>8</v>
      </c>
      <c r="K366">
        <v>1</v>
      </c>
      <c r="L366">
        <v>0.85099999999999998</v>
      </c>
      <c r="M366">
        <v>0.94699999999999995</v>
      </c>
      <c r="N366" s="3">
        <v>-6.4</v>
      </c>
    </row>
    <row r="367" spans="1:14" x14ac:dyDescent="0.2">
      <c r="A367" t="s">
        <v>150</v>
      </c>
      <c r="B367">
        <v>2013</v>
      </c>
      <c r="C367">
        <v>16</v>
      </c>
      <c r="D367">
        <v>4</v>
      </c>
      <c r="E367" s="3">
        <v>4.0199999999999996</v>
      </c>
      <c r="F367" s="3">
        <v>0.3</v>
      </c>
      <c r="G367" s="3">
        <v>3.8</v>
      </c>
      <c r="H367" s="3">
        <v>-2.2000000000000002</v>
      </c>
      <c r="I367" s="3">
        <v>-4.7</v>
      </c>
      <c r="J367">
        <v>3</v>
      </c>
      <c r="K367">
        <v>1</v>
      </c>
      <c r="L367">
        <v>0.65300000000000002</v>
      </c>
      <c r="M367">
        <v>0.55800000000000005</v>
      </c>
      <c r="N367" s="3">
        <v>-3.8</v>
      </c>
    </row>
    <row r="368" spans="1:14" x14ac:dyDescent="0.2">
      <c r="A368" t="s">
        <v>152</v>
      </c>
      <c r="B368">
        <v>2013</v>
      </c>
      <c r="C368">
        <v>16</v>
      </c>
      <c r="D368">
        <v>4</v>
      </c>
      <c r="E368" s="3">
        <v>4.8099999999999996</v>
      </c>
      <c r="F368" s="3">
        <v>-1.1000000000000001</v>
      </c>
      <c r="G368" s="3">
        <v>6</v>
      </c>
      <c r="H368" s="3">
        <v>-1</v>
      </c>
      <c r="I368" s="3">
        <v>2.8</v>
      </c>
      <c r="J368">
        <v>14</v>
      </c>
      <c r="K368">
        <v>1</v>
      </c>
      <c r="L368">
        <v>0.624</v>
      </c>
      <c r="M368">
        <v>0.71399999999999997</v>
      </c>
      <c r="N368" s="3">
        <v>-6</v>
      </c>
    </row>
    <row r="369" spans="1:14" x14ac:dyDescent="0.2">
      <c r="A369" t="s">
        <v>147</v>
      </c>
      <c r="B369">
        <v>2013</v>
      </c>
      <c r="C369">
        <v>16</v>
      </c>
      <c r="D369">
        <v>3</v>
      </c>
      <c r="E369" s="3">
        <v>7.2</v>
      </c>
      <c r="F369" s="3">
        <v>8</v>
      </c>
      <c r="G369" s="3">
        <v>-0.8</v>
      </c>
      <c r="H369" s="3">
        <v>2.5</v>
      </c>
      <c r="I369" s="3">
        <v>-0.4</v>
      </c>
      <c r="J369">
        <v>-11</v>
      </c>
      <c r="K369">
        <v>0</v>
      </c>
      <c r="L369">
        <v>0.66800000000000004</v>
      </c>
      <c r="M369">
        <v>0.57099999999999995</v>
      </c>
      <c r="N369" s="3">
        <v>0.8</v>
      </c>
    </row>
    <row r="370" spans="1:14" x14ac:dyDescent="0.2">
      <c r="A370" t="s">
        <v>146</v>
      </c>
      <c r="B370">
        <v>2013</v>
      </c>
      <c r="C370">
        <v>16</v>
      </c>
      <c r="D370">
        <v>3</v>
      </c>
      <c r="E370" s="3">
        <v>-1.79</v>
      </c>
      <c r="F370" s="3">
        <v>-8.9</v>
      </c>
      <c r="G370" s="3">
        <v>7.2</v>
      </c>
      <c r="H370" s="3">
        <v>2.8</v>
      </c>
      <c r="I370" s="3">
        <v>6.52</v>
      </c>
      <c r="J370">
        <v>-2</v>
      </c>
      <c r="K370">
        <v>0</v>
      </c>
      <c r="L370">
        <v>0.48799999999999999</v>
      </c>
      <c r="M370">
        <v>0.54800000000000004</v>
      </c>
      <c r="N370" s="3">
        <v>-7.2</v>
      </c>
    </row>
    <row r="371" spans="1:14" x14ac:dyDescent="0.2">
      <c r="A371" t="s">
        <v>149</v>
      </c>
      <c r="B371">
        <v>2013</v>
      </c>
      <c r="C371">
        <v>16</v>
      </c>
      <c r="D371">
        <v>1</v>
      </c>
      <c r="E371" s="3">
        <v>5.15</v>
      </c>
      <c r="F371" s="3">
        <v>0.4</v>
      </c>
      <c r="G371" s="3">
        <v>4.7</v>
      </c>
      <c r="H371" s="3">
        <v>-1.6</v>
      </c>
      <c r="I371" s="3">
        <v>3.84</v>
      </c>
      <c r="J371">
        <v>-10</v>
      </c>
      <c r="K371">
        <v>0</v>
      </c>
      <c r="L371">
        <v>0.64500000000000002</v>
      </c>
      <c r="M371">
        <v>0.59799999999999998</v>
      </c>
      <c r="N371" s="3">
        <v>-4.7</v>
      </c>
    </row>
    <row r="372" spans="1:14" x14ac:dyDescent="0.2">
      <c r="A372" t="s">
        <v>148</v>
      </c>
      <c r="B372">
        <v>2013</v>
      </c>
      <c r="C372">
        <v>16</v>
      </c>
      <c r="D372">
        <v>1</v>
      </c>
      <c r="E372" s="3">
        <v>2.88</v>
      </c>
      <c r="F372" s="3">
        <v>6.4</v>
      </c>
      <c r="G372" s="3">
        <v>-3.6</v>
      </c>
      <c r="H372" s="3">
        <v>3.5</v>
      </c>
      <c r="I372" s="3">
        <v>7.09</v>
      </c>
      <c r="J372">
        <v>10</v>
      </c>
      <c r="K372">
        <v>1</v>
      </c>
      <c r="L372">
        <v>0.53700000000000003</v>
      </c>
      <c r="M372">
        <v>0.54300000000000004</v>
      </c>
      <c r="N372" s="3">
        <v>3.6</v>
      </c>
    </row>
    <row r="373" spans="1:14" x14ac:dyDescent="0.2">
      <c r="A373" t="s">
        <v>154</v>
      </c>
      <c r="B373">
        <v>2013</v>
      </c>
      <c r="C373">
        <v>8</v>
      </c>
      <c r="D373">
        <v>7</v>
      </c>
      <c r="E373" s="3">
        <v>5.88</v>
      </c>
      <c r="F373" s="3">
        <v>4.3</v>
      </c>
      <c r="G373" s="3">
        <v>1.6</v>
      </c>
      <c r="H373" s="3">
        <v>-0.3</v>
      </c>
      <c r="I373" s="3">
        <v>-3.58</v>
      </c>
      <c r="J373">
        <v>-4</v>
      </c>
      <c r="K373">
        <v>0</v>
      </c>
      <c r="L373">
        <v>0.68</v>
      </c>
      <c r="M373">
        <v>0.65900000000000003</v>
      </c>
      <c r="N373" s="3">
        <v>-1.6</v>
      </c>
    </row>
    <row r="374" spans="1:14" x14ac:dyDescent="0.2">
      <c r="A374" t="s">
        <v>155</v>
      </c>
      <c r="B374">
        <v>2013</v>
      </c>
      <c r="C374">
        <v>8</v>
      </c>
      <c r="D374">
        <v>1</v>
      </c>
      <c r="E374" s="3">
        <v>5.92</v>
      </c>
      <c r="F374" s="3">
        <v>-3.1</v>
      </c>
      <c r="G374" s="3">
        <v>9</v>
      </c>
      <c r="H374" s="3">
        <v>-2.2999999999999998</v>
      </c>
      <c r="I374" s="3">
        <v>5.4</v>
      </c>
      <c r="J374">
        <v>-20</v>
      </c>
      <c r="K374">
        <v>0</v>
      </c>
      <c r="L374">
        <v>0.71</v>
      </c>
      <c r="M374">
        <v>0.63700000000000001</v>
      </c>
      <c r="N374" s="3">
        <v>-9</v>
      </c>
    </row>
    <row r="375" spans="1:14" x14ac:dyDescent="0.2">
      <c r="A375" t="s">
        <v>153</v>
      </c>
      <c r="B375">
        <v>2013</v>
      </c>
      <c r="C375">
        <v>8</v>
      </c>
      <c r="D375">
        <v>1</v>
      </c>
      <c r="E375" s="3">
        <v>3.92</v>
      </c>
      <c r="F375" s="3">
        <v>-3.7</v>
      </c>
      <c r="G375" s="3">
        <v>7.7</v>
      </c>
      <c r="H375" s="3">
        <v>-0.7</v>
      </c>
      <c r="I375" s="3">
        <v>-5.43</v>
      </c>
      <c r="J375">
        <v>22</v>
      </c>
      <c r="K375">
        <v>1</v>
      </c>
      <c r="L375">
        <v>0.66</v>
      </c>
      <c r="M375">
        <v>0.67</v>
      </c>
      <c r="N375" s="3">
        <v>-7.7</v>
      </c>
    </row>
    <row r="376" spans="1:14" x14ac:dyDescent="0.2">
      <c r="A376" t="s">
        <v>156</v>
      </c>
      <c r="B376">
        <v>2013</v>
      </c>
      <c r="C376">
        <v>8</v>
      </c>
      <c r="D376">
        <v>1</v>
      </c>
      <c r="E376" s="3">
        <v>-5.03</v>
      </c>
      <c r="F376" s="3">
        <v>0.4</v>
      </c>
      <c r="G376" s="3">
        <v>-5.4</v>
      </c>
      <c r="H376" s="3">
        <v>0</v>
      </c>
      <c r="I376" s="3">
        <v>1.8</v>
      </c>
      <c r="J376">
        <v>-16</v>
      </c>
      <c r="K376">
        <v>0</v>
      </c>
      <c r="L376">
        <v>0.33</v>
      </c>
      <c r="M376">
        <v>0.25</v>
      </c>
      <c r="N376" s="3">
        <v>5.4</v>
      </c>
    </row>
    <row r="377" spans="1:14" x14ac:dyDescent="0.2">
      <c r="A377" t="s">
        <v>157</v>
      </c>
      <c r="B377">
        <v>2013</v>
      </c>
      <c r="C377">
        <v>4</v>
      </c>
      <c r="D377">
        <v>8</v>
      </c>
      <c r="E377" s="3">
        <v>12.94</v>
      </c>
      <c r="F377" s="3">
        <v>5.3</v>
      </c>
      <c r="G377" s="3">
        <v>7.6</v>
      </c>
      <c r="H377" s="3">
        <v>2</v>
      </c>
      <c r="I377" s="3">
        <v>1.64</v>
      </c>
      <c r="J377">
        <v>4</v>
      </c>
      <c r="K377">
        <v>1</v>
      </c>
      <c r="L377">
        <v>0.83</v>
      </c>
      <c r="M377">
        <v>0.84599999999999997</v>
      </c>
      <c r="N377" s="3">
        <v>-7.6</v>
      </c>
    </row>
    <row r="378" spans="1:14" x14ac:dyDescent="0.2">
      <c r="A378" t="s">
        <v>158</v>
      </c>
      <c r="B378">
        <v>2013</v>
      </c>
      <c r="C378">
        <v>4</v>
      </c>
      <c r="D378">
        <v>0</v>
      </c>
      <c r="E378" s="3">
        <v>2.78</v>
      </c>
      <c r="F378" s="3">
        <v>8</v>
      </c>
      <c r="G378" s="3">
        <v>-5.2</v>
      </c>
      <c r="H378" s="3">
        <v>0.9</v>
      </c>
      <c r="I378" s="3">
        <v>0.39</v>
      </c>
      <c r="J378">
        <v>5</v>
      </c>
      <c r="K378">
        <v>1</v>
      </c>
      <c r="L378">
        <v>0.51</v>
      </c>
      <c r="M378">
        <v>0.51900000000000002</v>
      </c>
      <c r="N378" s="3">
        <v>5.2</v>
      </c>
    </row>
    <row r="379" spans="1:14" x14ac:dyDescent="0.2">
      <c r="A379" t="s">
        <v>894</v>
      </c>
      <c r="B379">
        <v>2013</v>
      </c>
      <c r="C379">
        <v>2</v>
      </c>
      <c r="D379">
        <v>3</v>
      </c>
      <c r="E379" s="3">
        <v>4.72</v>
      </c>
      <c r="F379" s="3">
        <v>-4.4000000000000004</v>
      </c>
      <c r="G379" s="3">
        <v>9.1999999999999993</v>
      </c>
      <c r="H379" s="3">
        <v>1.8</v>
      </c>
      <c r="I379" s="3">
        <v>4.0599999999999996</v>
      </c>
      <c r="J379">
        <v>6</v>
      </c>
      <c r="K379">
        <v>1</v>
      </c>
      <c r="L379">
        <v>0.68</v>
      </c>
      <c r="M379">
        <v>0.629</v>
      </c>
      <c r="N379" s="3">
        <v>-9.1999999999999993</v>
      </c>
    </row>
    <row r="380" spans="1:14" x14ac:dyDescent="0.2">
      <c r="A380" t="s">
        <v>159</v>
      </c>
      <c r="B380">
        <v>2012</v>
      </c>
      <c r="C380">
        <v>64</v>
      </c>
      <c r="D380">
        <v>15</v>
      </c>
      <c r="E380" s="3">
        <v>34.562049999999999</v>
      </c>
      <c r="F380" s="3">
        <v>22.378499999999999</v>
      </c>
      <c r="G380" s="3">
        <v>12.1838</v>
      </c>
      <c r="H380" s="3">
        <v>-2.8174999999999999</v>
      </c>
      <c r="I380" s="3">
        <v>-1.58</v>
      </c>
      <c r="J380">
        <v>15</v>
      </c>
      <c r="K380">
        <v>1</v>
      </c>
      <c r="L380">
        <v>0.98</v>
      </c>
      <c r="M380">
        <v>0.99099999999999999</v>
      </c>
      <c r="N380" s="3">
        <v>-12.1838</v>
      </c>
    </row>
    <row r="381" spans="1:14" x14ac:dyDescent="0.2">
      <c r="A381" t="s">
        <v>1190</v>
      </c>
      <c r="B381">
        <v>2012</v>
      </c>
      <c r="C381">
        <v>64</v>
      </c>
      <c r="D381">
        <v>15</v>
      </c>
      <c r="E381" s="3">
        <v>28.275029</v>
      </c>
      <c r="F381" s="3">
        <v>6.9880000000000004</v>
      </c>
      <c r="G381" s="3">
        <v>21.287299999999998</v>
      </c>
      <c r="H381" s="3">
        <v>-8.8923000000000005</v>
      </c>
      <c r="I381" s="3">
        <v>6.87</v>
      </c>
      <c r="J381">
        <v>22</v>
      </c>
      <c r="K381">
        <v>1</v>
      </c>
      <c r="L381">
        <v>0.96299999999999997</v>
      </c>
      <c r="M381">
        <v>0.94899999999999995</v>
      </c>
      <c r="N381" s="3">
        <v>-21.287299999999998</v>
      </c>
    </row>
    <row r="382" spans="1:14" x14ac:dyDescent="0.2">
      <c r="A382" t="s">
        <v>161</v>
      </c>
      <c r="B382">
        <v>2012</v>
      </c>
      <c r="C382">
        <v>64</v>
      </c>
      <c r="D382">
        <v>15</v>
      </c>
      <c r="E382" s="3">
        <v>22.049299999999999</v>
      </c>
      <c r="F382" s="3">
        <v>12.663</v>
      </c>
      <c r="G382" s="3">
        <v>9.3871000000000002</v>
      </c>
      <c r="H382" s="3">
        <v>8.6959</v>
      </c>
      <c r="I382" s="3">
        <v>5.95</v>
      </c>
      <c r="J382">
        <v>19</v>
      </c>
      <c r="K382">
        <v>1</v>
      </c>
      <c r="L382">
        <v>0.92</v>
      </c>
      <c r="M382">
        <v>0.93600000000000005</v>
      </c>
      <c r="N382" s="3">
        <v>-9.3871000000000002</v>
      </c>
    </row>
    <row r="383" spans="1:14" x14ac:dyDescent="0.2">
      <c r="A383" t="s">
        <v>160</v>
      </c>
      <c r="B383">
        <v>2012</v>
      </c>
      <c r="C383">
        <v>64</v>
      </c>
      <c r="D383">
        <v>15</v>
      </c>
      <c r="E383" s="3">
        <v>20.543019999999999</v>
      </c>
      <c r="F383" s="3">
        <v>6.4210000000000003</v>
      </c>
      <c r="G383" s="3">
        <v>14.1227</v>
      </c>
      <c r="H383" s="3">
        <v>-3.5869</v>
      </c>
      <c r="I383" s="3">
        <v>-4.04</v>
      </c>
      <c r="J383">
        <v>7</v>
      </c>
      <c r="K383">
        <v>1</v>
      </c>
      <c r="L383">
        <v>0.90500000000000003</v>
      </c>
      <c r="M383">
        <v>0.89300000000000002</v>
      </c>
      <c r="N383" s="3">
        <v>-14.1227</v>
      </c>
    </row>
    <row r="384" spans="1:14" x14ac:dyDescent="0.2">
      <c r="A384" t="s">
        <v>163</v>
      </c>
      <c r="B384">
        <v>2012</v>
      </c>
      <c r="C384">
        <v>64</v>
      </c>
      <c r="D384">
        <v>13</v>
      </c>
      <c r="E384" s="3">
        <v>29.126660000000001</v>
      </c>
      <c r="F384" s="3">
        <v>24.958100000000002</v>
      </c>
      <c r="G384" s="3">
        <v>4.1684999999999999</v>
      </c>
      <c r="H384" s="3">
        <v>-1.2975000000000001</v>
      </c>
      <c r="I384" s="3">
        <v>-3.06</v>
      </c>
      <c r="J384">
        <v>-2</v>
      </c>
      <c r="K384">
        <v>0</v>
      </c>
      <c r="L384">
        <v>0.96199999999999997</v>
      </c>
      <c r="M384">
        <v>0.97199999999999998</v>
      </c>
      <c r="N384" s="3">
        <v>-4.1684999999999999</v>
      </c>
    </row>
    <row r="385" spans="1:14" x14ac:dyDescent="0.2">
      <c r="A385" t="s">
        <v>164</v>
      </c>
      <c r="B385">
        <v>2012</v>
      </c>
      <c r="C385">
        <v>64</v>
      </c>
      <c r="D385">
        <v>13</v>
      </c>
      <c r="E385" s="3">
        <v>26.2242</v>
      </c>
      <c r="F385" s="3">
        <v>13.96</v>
      </c>
      <c r="G385" s="3">
        <v>12.264799999999999</v>
      </c>
      <c r="H385" s="3">
        <v>3.1214</v>
      </c>
      <c r="I385" s="3">
        <v>-2.93</v>
      </c>
      <c r="J385">
        <v>19</v>
      </c>
      <c r="K385">
        <v>1</v>
      </c>
      <c r="L385">
        <v>0.95099999999999996</v>
      </c>
      <c r="M385">
        <v>0.96399999999999997</v>
      </c>
      <c r="N385" s="3">
        <v>-12.264799999999999</v>
      </c>
    </row>
    <row r="386" spans="1:14" x14ac:dyDescent="0.2">
      <c r="A386" t="s">
        <v>165</v>
      </c>
      <c r="B386">
        <v>2012</v>
      </c>
      <c r="C386">
        <v>64</v>
      </c>
      <c r="D386">
        <v>13</v>
      </c>
      <c r="E386" s="3">
        <v>21.415569999999999</v>
      </c>
      <c r="F386" s="3">
        <v>7.6559999999999997</v>
      </c>
      <c r="G386" s="3">
        <v>13.7591</v>
      </c>
      <c r="H386" s="3">
        <v>-0.439</v>
      </c>
      <c r="I386" s="3">
        <v>5.93</v>
      </c>
      <c r="J386">
        <v>15</v>
      </c>
      <c r="K386">
        <v>1</v>
      </c>
      <c r="L386">
        <v>0.91800000000000004</v>
      </c>
      <c r="M386">
        <v>0.94599999999999995</v>
      </c>
      <c r="N386" s="3">
        <v>-13.7591</v>
      </c>
    </row>
    <row r="387" spans="1:14" x14ac:dyDescent="0.2">
      <c r="A387" t="s">
        <v>162</v>
      </c>
      <c r="B387">
        <v>2012</v>
      </c>
      <c r="C387">
        <v>64</v>
      </c>
      <c r="D387">
        <v>13</v>
      </c>
      <c r="E387" s="3">
        <v>11.95767</v>
      </c>
      <c r="F387" s="3">
        <v>9.3030000000000008</v>
      </c>
      <c r="G387" s="3">
        <v>2.6551999999999998</v>
      </c>
      <c r="H387" s="3">
        <v>-1.4087000000000001</v>
      </c>
      <c r="I387" s="3">
        <v>17.71</v>
      </c>
      <c r="J387">
        <v>-5</v>
      </c>
      <c r="K387">
        <v>0</v>
      </c>
      <c r="L387">
        <v>0.77800000000000002</v>
      </c>
      <c r="M387">
        <v>0.89600000000000002</v>
      </c>
      <c r="N387" s="3">
        <v>-2.6551999999999998</v>
      </c>
    </row>
    <row r="388" spans="1:14" x14ac:dyDescent="0.2">
      <c r="A388" t="s">
        <v>166</v>
      </c>
      <c r="B388">
        <v>2012</v>
      </c>
      <c r="C388">
        <v>64</v>
      </c>
      <c r="D388">
        <v>11</v>
      </c>
      <c r="E388" s="3">
        <v>9.7064000000000004</v>
      </c>
      <c r="F388" s="3">
        <v>1.9</v>
      </c>
      <c r="G388" s="3">
        <v>7.8066000000000004</v>
      </c>
      <c r="H388" s="3">
        <v>0.4768</v>
      </c>
      <c r="I388" s="3">
        <v>-0.49</v>
      </c>
      <c r="J388">
        <v>8</v>
      </c>
      <c r="K388">
        <v>1</v>
      </c>
      <c r="L388">
        <v>0.73499999999999999</v>
      </c>
      <c r="M388">
        <v>0.79200000000000004</v>
      </c>
      <c r="N388" s="3">
        <v>-7.8066000000000004</v>
      </c>
    </row>
    <row r="389" spans="1:14" x14ac:dyDescent="0.2">
      <c r="A389" t="s">
        <v>168</v>
      </c>
      <c r="B389">
        <v>2012</v>
      </c>
      <c r="C389">
        <v>64</v>
      </c>
      <c r="D389">
        <v>11</v>
      </c>
      <c r="E389" s="3">
        <v>6.3971</v>
      </c>
      <c r="F389" s="3">
        <v>-2.371</v>
      </c>
      <c r="G389" s="3">
        <v>8.7682000000000002</v>
      </c>
      <c r="H389" s="3">
        <v>3.6404999999999998</v>
      </c>
      <c r="I389" s="3">
        <v>4.82</v>
      </c>
      <c r="J389">
        <v>3</v>
      </c>
      <c r="K389">
        <v>1</v>
      </c>
      <c r="L389">
        <v>0.66200000000000003</v>
      </c>
      <c r="M389">
        <v>0.88200000000000001</v>
      </c>
      <c r="N389" s="3">
        <v>-8.7682000000000002</v>
      </c>
    </row>
    <row r="390" spans="1:14" x14ac:dyDescent="0.2">
      <c r="A390" t="s">
        <v>167</v>
      </c>
      <c r="B390">
        <v>2012</v>
      </c>
      <c r="C390">
        <v>64</v>
      </c>
      <c r="D390">
        <v>11</v>
      </c>
      <c r="E390" s="3">
        <v>6.4028999999999998</v>
      </c>
      <c r="F390" s="3">
        <v>5.5279999999999996</v>
      </c>
      <c r="G390" s="3">
        <v>0.87490000000000001</v>
      </c>
      <c r="H390" s="3">
        <v>-2.4710999999999999</v>
      </c>
      <c r="I390" s="3">
        <v>-0.14000000000000001</v>
      </c>
      <c r="J390">
        <v>20</v>
      </c>
      <c r="K390">
        <v>1</v>
      </c>
      <c r="L390">
        <v>0.68</v>
      </c>
      <c r="M390">
        <v>0.751</v>
      </c>
      <c r="N390" s="3">
        <v>-0.87490000000000001</v>
      </c>
    </row>
    <row r="391" spans="1:14" x14ac:dyDescent="0.2">
      <c r="A391" t="s">
        <v>169</v>
      </c>
      <c r="B391">
        <v>2012</v>
      </c>
      <c r="C391">
        <v>64</v>
      </c>
      <c r="D391">
        <v>11</v>
      </c>
      <c r="E391" s="3">
        <v>2.6659999999999999</v>
      </c>
      <c r="F391" s="3">
        <v>-7.0949999999999998</v>
      </c>
      <c r="G391" s="3">
        <v>9.7614999999999998</v>
      </c>
      <c r="H391" s="3">
        <v>-5.1075999999999997</v>
      </c>
      <c r="I391" s="3">
        <v>-0.34</v>
      </c>
      <c r="J391">
        <v>15</v>
      </c>
      <c r="K391">
        <v>1</v>
      </c>
      <c r="L391">
        <v>0.59399999999999997</v>
      </c>
      <c r="M391">
        <v>0.55300000000000005</v>
      </c>
      <c r="N391" s="3">
        <v>-9.7614999999999998</v>
      </c>
    </row>
    <row r="392" spans="1:14" x14ac:dyDescent="0.2">
      <c r="A392" t="s">
        <v>172</v>
      </c>
      <c r="B392">
        <v>2012</v>
      </c>
      <c r="C392">
        <v>64</v>
      </c>
      <c r="D392">
        <v>9</v>
      </c>
      <c r="E392" s="3">
        <v>15.42563</v>
      </c>
      <c r="F392" s="3">
        <v>8.4179999999999993</v>
      </c>
      <c r="G392" s="3">
        <v>7.0072999999999999</v>
      </c>
      <c r="H392" s="3">
        <v>-6.5053000000000001</v>
      </c>
      <c r="I392" s="3">
        <v>0.09</v>
      </c>
      <c r="J392">
        <v>24</v>
      </c>
      <c r="K392">
        <v>1</v>
      </c>
      <c r="L392">
        <v>0.871</v>
      </c>
      <c r="M392">
        <v>0.85399999999999998</v>
      </c>
      <c r="N392" s="3">
        <v>-7.0072999999999999</v>
      </c>
    </row>
    <row r="393" spans="1:14" x14ac:dyDescent="0.2">
      <c r="A393" t="s">
        <v>170</v>
      </c>
      <c r="B393">
        <v>2012</v>
      </c>
      <c r="C393">
        <v>64</v>
      </c>
      <c r="D393">
        <v>9</v>
      </c>
      <c r="E393" s="3">
        <v>10.887</v>
      </c>
      <c r="F393" s="3">
        <v>10.406000000000001</v>
      </c>
      <c r="G393" s="3">
        <v>0.48060000000000003</v>
      </c>
      <c r="H393" s="3">
        <v>-3.0586000000000002</v>
      </c>
      <c r="I393" s="3">
        <v>0.03</v>
      </c>
      <c r="J393">
        <v>13</v>
      </c>
      <c r="K393">
        <v>1</v>
      </c>
      <c r="L393">
        <v>0.77800000000000002</v>
      </c>
      <c r="M393">
        <v>0.71299999999999997</v>
      </c>
      <c r="N393" s="3">
        <v>-0.48060000000000003</v>
      </c>
    </row>
    <row r="394" spans="1:14" x14ac:dyDescent="0.2">
      <c r="A394" t="s">
        <v>173</v>
      </c>
      <c r="B394">
        <v>2012</v>
      </c>
      <c r="C394">
        <v>64</v>
      </c>
      <c r="D394">
        <v>9</v>
      </c>
      <c r="E394" s="3">
        <v>7.3236999999999997</v>
      </c>
      <c r="F394" s="3">
        <v>8.2390000000000008</v>
      </c>
      <c r="G394" s="3">
        <v>-0.91520000000000001</v>
      </c>
      <c r="H394" s="3">
        <v>-6.0198999999999998</v>
      </c>
      <c r="I394" s="3">
        <v>3.55</v>
      </c>
      <c r="J394">
        <v>-5</v>
      </c>
      <c r="K394">
        <v>0</v>
      </c>
      <c r="L394">
        <v>0.70199999999999996</v>
      </c>
      <c r="M394">
        <v>0.71499999999999997</v>
      </c>
      <c r="N394" s="3">
        <v>0.91520000000000001</v>
      </c>
    </row>
    <row r="395" spans="1:14" x14ac:dyDescent="0.2">
      <c r="A395" t="s">
        <v>171</v>
      </c>
      <c r="B395">
        <v>2012</v>
      </c>
      <c r="C395">
        <v>64</v>
      </c>
      <c r="D395">
        <v>9</v>
      </c>
      <c r="E395" s="3">
        <v>8.1222999999999992</v>
      </c>
      <c r="F395" s="3">
        <v>-6.5609999999999999</v>
      </c>
      <c r="G395" s="3">
        <v>14.683400000000001</v>
      </c>
      <c r="H395" s="3">
        <v>-0.70809999999999995</v>
      </c>
      <c r="I395" s="3">
        <v>-4.63</v>
      </c>
      <c r="J395">
        <v>7</v>
      </c>
      <c r="K395">
        <v>1</v>
      </c>
      <c r="L395">
        <v>0.71399999999999997</v>
      </c>
      <c r="M395">
        <v>0.76700000000000002</v>
      </c>
      <c r="N395" s="3">
        <v>-14.683400000000001</v>
      </c>
    </row>
    <row r="396" spans="1:14" x14ac:dyDescent="0.2">
      <c r="A396" t="s">
        <v>174</v>
      </c>
      <c r="B396">
        <v>2012</v>
      </c>
      <c r="C396">
        <v>64</v>
      </c>
      <c r="D396">
        <v>7</v>
      </c>
      <c r="E396" s="3">
        <v>10.6031</v>
      </c>
      <c r="F396" s="3">
        <v>9.7970000000000006</v>
      </c>
      <c r="G396" s="3">
        <v>0.80559999999999998</v>
      </c>
      <c r="H396" s="3">
        <v>0.78969999999999996</v>
      </c>
      <c r="I396" s="3">
        <v>3.15</v>
      </c>
      <c r="J396">
        <v>-3</v>
      </c>
      <c r="K396">
        <v>0</v>
      </c>
      <c r="L396">
        <v>0.77200000000000002</v>
      </c>
      <c r="M396">
        <v>0.74199999999999999</v>
      </c>
      <c r="N396" s="3">
        <v>-0.80559999999999998</v>
      </c>
    </row>
    <row r="397" spans="1:14" x14ac:dyDescent="0.2">
      <c r="A397" t="s">
        <v>176</v>
      </c>
      <c r="B397">
        <v>2012</v>
      </c>
      <c r="C397">
        <v>64</v>
      </c>
      <c r="D397">
        <v>7</v>
      </c>
      <c r="E397" s="3">
        <v>5.5715000000000003</v>
      </c>
      <c r="F397" s="3">
        <v>6.3769999999999998</v>
      </c>
      <c r="G397" s="3">
        <v>-0.80520000000000003</v>
      </c>
      <c r="H397" s="3">
        <v>4.2477999999999998</v>
      </c>
      <c r="I397" s="3">
        <v>7.08</v>
      </c>
      <c r="J397">
        <v>9</v>
      </c>
      <c r="K397">
        <v>1</v>
      </c>
      <c r="L397">
        <v>0.67200000000000004</v>
      </c>
      <c r="M397">
        <v>0.752</v>
      </c>
      <c r="N397" s="3">
        <v>0.80520000000000003</v>
      </c>
    </row>
    <row r="398" spans="1:14" x14ac:dyDescent="0.2">
      <c r="A398" t="s">
        <v>177</v>
      </c>
      <c r="B398">
        <v>2012</v>
      </c>
      <c r="C398">
        <v>64</v>
      </c>
      <c r="D398">
        <v>7</v>
      </c>
      <c r="E398" s="3">
        <v>4.0579000000000001</v>
      </c>
      <c r="F398" s="3">
        <v>11.294</v>
      </c>
      <c r="G398" s="3">
        <v>-7.2363999999999997</v>
      </c>
      <c r="H398" s="3">
        <v>7.3461999999999996</v>
      </c>
      <c r="I398" s="3">
        <v>3.02</v>
      </c>
      <c r="J398">
        <v>-14</v>
      </c>
      <c r="K398">
        <v>0</v>
      </c>
      <c r="L398">
        <v>0.56999999999999995</v>
      </c>
      <c r="M398">
        <v>0.61399999999999999</v>
      </c>
      <c r="N398" s="3">
        <v>7.2363999999999997</v>
      </c>
    </row>
    <row r="399" spans="1:14" x14ac:dyDescent="0.2">
      <c r="A399" t="s">
        <v>175</v>
      </c>
      <c r="B399">
        <v>2012</v>
      </c>
      <c r="C399">
        <v>64</v>
      </c>
      <c r="D399">
        <v>7</v>
      </c>
      <c r="E399" s="3">
        <v>4.3159000000000001</v>
      </c>
      <c r="F399" s="3">
        <v>-1.1759999999999999</v>
      </c>
      <c r="G399" s="3">
        <v>5.4923999999999999</v>
      </c>
      <c r="H399" s="3">
        <v>-0.48749999999999999</v>
      </c>
      <c r="I399" s="3">
        <v>-14.93</v>
      </c>
      <c r="J399">
        <v>7</v>
      </c>
      <c r="K399">
        <v>1</v>
      </c>
      <c r="L399">
        <v>0.67200000000000004</v>
      </c>
      <c r="M399">
        <v>0.67900000000000005</v>
      </c>
      <c r="N399" s="3">
        <v>-5.4923999999999999</v>
      </c>
    </row>
    <row r="400" spans="1:14" x14ac:dyDescent="0.2">
      <c r="A400" t="s">
        <v>178</v>
      </c>
      <c r="B400">
        <v>2012</v>
      </c>
      <c r="C400">
        <v>64</v>
      </c>
      <c r="D400">
        <v>5</v>
      </c>
      <c r="E400" s="3">
        <v>7.7199400000000002</v>
      </c>
      <c r="F400" s="3">
        <v>5.3609999999999998</v>
      </c>
      <c r="G400" s="3">
        <v>2.3592</v>
      </c>
      <c r="H400" s="3">
        <v>3.5764</v>
      </c>
      <c r="I400" s="3">
        <v>-0.6</v>
      </c>
      <c r="J400">
        <v>-4</v>
      </c>
      <c r="K400">
        <v>0</v>
      </c>
      <c r="L400">
        <v>0.66</v>
      </c>
      <c r="M400">
        <v>0.68400000000000005</v>
      </c>
      <c r="N400" s="3">
        <v>-2.3592</v>
      </c>
    </row>
    <row r="401" spans="1:14" x14ac:dyDescent="0.2">
      <c r="A401" t="s">
        <v>179</v>
      </c>
      <c r="B401">
        <v>2012</v>
      </c>
      <c r="C401">
        <v>64</v>
      </c>
      <c r="D401">
        <v>5</v>
      </c>
      <c r="E401" s="3">
        <v>5.5625299999999998</v>
      </c>
      <c r="F401" s="3">
        <v>-3.0630000000000002</v>
      </c>
      <c r="G401" s="3">
        <v>8.6256000000000004</v>
      </c>
      <c r="H401" s="3">
        <v>1.2008000000000001</v>
      </c>
      <c r="I401" s="3">
        <v>1.52</v>
      </c>
      <c r="J401">
        <v>17</v>
      </c>
      <c r="K401">
        <v>1</v>
      </c>
      <c r="L401">
        <v>0.60799999999999998</v>
      </c>
      <c r="M401">
        <v>0.67300000000000004</v>
      </c>
      <c r="N401" s="3">
        <v>-8.6256000000000004</v>
      </c>
    </row>
    <row r="402" spans="1:14" x14ac:dyDescent="0.2">
      <c r="A402" t="s">
        <v>181</v>
      </c>
      <c r="B402">
        <v>2012</v>
      </c>
      <c r="C402">
        <v>64</v>
      </c>
      <c r="D402">
        <v>5</v>
      </c>
      <c r="E402" s="3">
        <v>-0.64710000000000001</v>
      </c>
      <c r="F402" s="3">
        <v>-4.593</v>
      </c>
      <c r="G402" s="3">
        <v>3.9457</v>
      </c>
      <c r="H402" s="3">
        <v>-1.2759</v>
      </c>
      <c r="I402" s="3">
        <v>-6.1</v>
      </c>
      <c r="J402">
        <v>-6</v>
      </c>
      <c r="K402">
        <v>0</v>
      </c>
      <c r="L402">
        <v>0.46200000000000002</v>
      </c>
      <c r="M402">
        <v>0.40200000000000002</v>
      </c>
      <c r="N402" s="3">
        <v>-3.9457</v>
      </c>
    </row>
    <row r="403" spans="1:14" x14ac:dyDescent="0.2">
      <c r="A403" t="s">
        <v>180</v>
      </c>
      <c r="B403">
        <v>2012</v>
      </c>
      <c r="C403">
        <v>64</v>
      </c>
      <c r="D403">
        <v>5</v>
      </c>
      <c r="E403" s="3">
        <v>-1.3698999999999999</v>
      </c>
      <c r="F403" s="3">
        <v>-4.0019999999999998</v>
      </c>
      <c r="G403" s="3">
        <v>2.6328</v>
      </c>
      <c r="H403" s="3">
        <v>-2.2330000000000001</v>
      </c>
      <c r="I403" s="3">
        <v>-7.6</v>
      </c>
      <c r="J403">
        <v>6</v>
      </c>
      <c r="K403">
        <v>1</v>
      </c>
      <c r="L403">
        <v>0.47699999999999998</v>
      </c>
      <c r="M403">
        <v>0.60399999999999998</v>
      </c>
      <c r="N403" s="3">
        <v>-2.6328</v>
      </c>
    </row>
    <row r="404" spans="1:14" x14ac:dyDescent="0.2">
      <c r="A404" t="s">
        <v>183</v>
      </c>
      <c r="B404">
        <v>2012</v>
      </c>
      <c r="C404">
        <v>64</v>
      </c>
      <c r="D404">
        <v>3</v>
      </c>
      <c r="E404" s="3">
        <v>2.9276</v>
      </c>
      <c r="F404" s="3">
        <v>14.085000000000001</v>
      </c>
      <c r="G404" s="3">
        <v>-11.1576</v>
      </c>
      <c r="H404" s="3">
        <v>5.1074000000000002</v>
      </c>
      <c r="I404" s="3">
        <v>5.58</v>
      </c>
      <c r="J404">
        <v>26</v>
      </c>
      <c r="K404">
        <v>1</v>
      </c>
      <c r="L404">
        <v>0.55300000000000005</v>
      </c>
      <c r="M404">
        <v>0.64100000000000001</v>
      </c>
      <c r="N404" s="3">
        <v>11.1576</v>
      </c>
    </row>
    <row r="405" spans="1:14" x14ac:dyDescent="0.2">
      <c r="A405" t="s">
        <v>184</v>
      </c>
      <c r="B405">
        <v>2012</v>
      </c>
      <c r="C405">
        <v>64</v>
      </c>
      <c r="D405">
        <v>3</v>
      </c>
      <c r="E405" s="3">
        <v>2.4900000000000002</v>
      </c>
      <c r="F405" s="3">
        <v>5.0000000000000001E-3</v>
      </c>
      <c r="G405" s="3">
        <v>2.4845000000000002</v>
      </c>
      <c r="H405" s="3">
        <v>1.1213</v>
      </c>
      <c r="I405" s="3">
        <v>-0.36</v>
      </c>
      <c r="J405">
        <v>23</v>
      </c>
      <c r="K405">
        <v>1</v>
      </c>
      <c r="L405">
        <v>0.56000000000000005</v>
      </c>
      <c r="M405">
        <v>0.41799999999999998</v>
      </c>
      <c r="N405" s="3">
        <v>-2.4845000000000002</v>
      </c>
    </row>
    <row r="406" spans="1:14" x14ac:dyDescent="0.2">
      <c r="A406" t="s">
        <v>185</v>
      </c>
      <c r="B406">
        <v>2012</v>
      </c>
      <c r="C406">
        <v>64</v>
      </c>
      <c r="D406">
        <v>3</v>
      </c>
      <c r="E406" s="3">
        <v>-0.46710000000000002</v>
      </c>
      <c r="F406" s="3">
        <v>-1.718</v>
      </c>
      <c r="G406" s="3">
        <v>1.2499</v>
      </c>
      <c r="H406" s="3">
        <v>-1.3320000000000001</v>
      </c>
      <c r="I406" s="3">
        <v>-0.53</v>
      </c>
      <c r="J406">
        <v>-3</v>
      </c>
      <c r="K406">
        <v>0</v>
      </c>
      <c r="L406">
        <v>0.39400000000000002</v>
      </c>
      <c r="M406">
        <v>0.39</v>
      </c>
      <c r="N406" s="3">
        <v>-1.2499</v>
      </c>
    </row>
    <row r="407" spans="1:14" x14ac:dyDescent="0.2">
      <c r="A407" t="s">
        <v>182</v>
      </c>
      <c r="B407">
        <v>2012</v>
      </c>
      <c r="C407">
        <v>64</v>
      </c>
      <c r="D407">
        <v>3</v>
      </c>
      <c r="E407" s="3">
        <v>2.6053000000000002</v>
      </c>
      <c r="F407" s="3">
        <v>2.6629999999999998</v>
      </c>
      <c r="G407" s="3">
        <v>-5.6899999999999999E-2</v>
      </c>
      <c r="H407" s="3">
        <v>-6.3822999999999999</v>
      </c>
      <c r="I407" s="3">
        <v>-7.11</v>
      </c>
      <c r="J407">
        <v>-4</v>
      </c>
      <c r="K407">
        <v>0</v>
      </c>
      <c r="L407">
        <v>0.55800000000000005</v>
      </c>
      <c r="M407">
        <v>0.47899999999999998</v>
      </c>
      <c r="N407" s="3">
        <v>5.6899999999999999E-2</v>
      </c>
    </row>
    <row r="408" spans="1:14" x14ac:dyDescent="0.2">
      <c r="A408" t="s">
        <v>187</v>
      </c>
      <c r="B408">
        <v>2012</v>
      </c>
      <c r="C408">
        <v>64</v>
      </c>
      <c r="D408">
        <v>1</v>
      </c>
      <c r="E408" s="3">
        <v>1.9769000000000001</v>
      </c>
      <c r="F408" s="3">
        <v>3.0710000000000002</v>
      </c>
      <c r="G408" s="3">
        <v>-1.0943000000000001</v>
      </c>
      <c r="H408" s="3">
        <v>5.5608000000000004</v>
      </c>
      <c r="I408" s="3">
        <v>9.83</v>
      </c>
      <c r="J408">
        <v>-7</v>
      </c>
      <c r="K408">
        <v>0</v>
      </c>
      <c r="L408">
        <v>0.58799999999999997</v>
      </c>
      <c r="M408">
        <v>0.65900000000000003</v>
      </c>
      <c r="N408" s="3">
        <v>1.0943000000000001</v>
      </c>
    </row>
    <row r="409" spans="1:14" x14ac:dyDescent="0.2">
      <c r="A409" t="s">
        <v>188</v>
      </c>
      <c r="B409">
        <v>2012</v>
      </c>
      <c r="C409">
        <v>64</v>
      </c>
      <c r="D409">
        <v>1</v>
      </c>
      <c r="E409" s="3">
        <v>7.0301999999999998</v>
      </c>
      <c r="F409" s="3">
        <v>-1.272</v>
      </c>
      <c r="G409" s="3">
        <v>8.3024000000000004</v>
      </c>
      <c r="H409" s="3">
        <v>2.7277999999999998</v>
      </c>
      <c r="I409" s="3">
        <v>-2.46</v>
      </c>
      <c r="J409">
        <v>6</v>
      </c>
      <c r="K409">
        <v>1</v>
      </c>
      <c r="L409">
        <v>0.71899999999999997</v>
      </c>
      <c r="M409">
        <v>0.65800000000000003</v>
      </c>
      <c r="N409" s="3">
        <v>-8.3024000000000004</v>
      </c>
    </row>
    <row r="410" spans="1:14" x14ac:dyDescent="0.2">
      <c r="A410" t="s">
        <v>186</v>
      </c>
      <c r="B410">
        <v>2012</v>
      </c>
      <c r="C410">
        <v>64</v>
      </c>
      <c r="D410">
        <v>1</v>
      </c>
      <c r="E410" s="3">
        <v>1.4376</v>
      </c>
      <c r="F410" s="3">
        <v>1.718</v>
      </c>
      <c r="G410" s="3">
        <v>-0.28039999999999998</v>
      </c>
      <c r="H410" s="3">
        <v>2.8557000000000001</v>
      </c>
      <c r="I410" s="3">
        <v>-3.94</v>
      </c>
      <c r="J410">
        <v>13</v>
      </c>
      <c r="K410">
        <v>1</v>
      </c>
      <c r="L410">
        <v>0.55000000000000004</v>
      </c>
      <c r="M410">
        <v>0.42199999999999999</v>
      </c>
      <c r="N410" s="3">
        <v>0.28039999999999998</v>
      </c>
    </row>
    <row r="411" spans="1:14" x14ac:dyDescent="0.2">
      <c r="A411" t="s">
        <v>189</v>
      </c>
      <c r="B411">
        <v>2012</v>
      </c>
      <c r="C411">
        <v>64</v>
      </c>
      <c r="D411">
        <v>1</v>
      </c>
      <c r="E411" s="3">
        <v>0.42220000000000002</v>
      </c>
      <c r="F411" s="3">
        <v>13.61</v>
      </c>
      <c r="G411" s="3">
        <v>-13.1876</v>
      </c>
      <c r="H411" s="3">
        <v>3.9802</v>
      </c>
      <c r="I411" s="3">
        <v>-5.35</v>
      </c>
      <c r="J411">
        <v>1</v>
      </c>
      <c r="K411">
        <v>1</v>
      </c>
      <c r="L411">
        <v>0.46300000000000002</v>
      </c>
      <c r="M411">
        <v>0.47399999999999998</v>
      </c>
      <c r="N411" s="3">
        <v>13.1876</v>
      </c>
    </row>
    <row r="412" spans="1:14" x14ac:dyDescent="0.2">
      <c r="A412" t="s">
        <v>203</v>
      </c>
      <c r="B412">
        <v>2012</v>
      </c>
      <c r="C412">
        <v>32</v>
      </c>
      <c r="D412">
        <v>8</v>
      </c>
      <c r="E412" s="3">
        <v>22.53</v>
      </c>
      <c r="F412" s="3">
        <v>19.100000000000001</v>
      </c>
      <c r="G412" s="3">
        <v>3.5</v>
      </c>
      <c r="H412" s="3">
        <v>-2.2000000000000002</v>
      </c>
      <c r="I412" s="3">
        <v>1.53</v>
      </c>
      <c r="J412">
        <v>34</v>
      </c>
      <c r="K412">
        <v>1</v>
      </c>
      <c r="L412">
        <v>0.92800000000000005</v>
      </c>
      <c r="M412">
        <v>0.92100000000000004</v>
      </c>
      <c r="N412" s="3">
        <v>-3.5</v>
      </c>
    </row>
    <row r="413" spans="1:14" x14ac:dyDescent="0.2">
      <c r="A413" t="s">
        <v>196</v>
      </c>
      <c r="B413">
        <v>2012</v>
      </c>
      <c r="C413">
        <v>32</v>
      </c>
      <c r="D413">
        <v>8</v>
      </c>
      <c r="E413" s="3">
        <v>12.3</v>
      </c>
      <c r="F413" s="3">
        <v>10.9</v>
      </c>
      <c r="G413" s="3">
        <v>1.4</v>
      </c>
      <c r="H413" s="3">
        <v>0.3</v>
      </c>
      <c r="I413" s="3">
        <v>-1.8</v>
      </c>
      <c r="J413">
        <v>17</v>
      </c>
      <c r="K413">
        <v>1</v>
      </c>
      <c r="L413">
        <v>0.76800000000000002</v>
      </c>
      <c r="M413">
        <v>0.77100000000000002</v>
      </c>
      <c r="N413" s="3">
        <v>-1.4</v>
      </c>
    </row>
    <row r="414" spans="1:14" x14ac:dyDescent="0.2">
      <c r="A414" t="s">
        <v>195</v>
      </c>
      <c r="B414">
        <v>2012</v>
      </c>
      <c r="C414">
        <v>32</v>
      </c>
      <c r="D414">
        <v>8</v>
      </c>
      <c r="E414" s="3">
        <v>10.54</v>
      </c>
      <c r="F414" s="3">
        <v>-0.8</v>
      </c>
      <c r="G414" s="3">
        <v>11.3</v>
      </c>
      <c r="H414" s="3">
        <v>2</v>
      </c>
      <c r="I414" s="3">
        <v>7.26</v>
      </c>
      <c r="J414">
        <v>3</v>
      </c>
      <c r="K414">
        <v>1</v>
      </c>
      <c r="L414">
        <v>0.73599999999999999</v>
      </c>
      <c r="M414">
        <v>0.78600000000000003</v>
      </c>
      <c r="N414" s="3">
        <v>-11.3</v>
      </c>
    </row>
    <row r="415" spans="1:14" x14ac:dyDescent="0.2">
      <c r="A415" t="s">
        <v>200</v>
      </c>
      <c r="B415">
        <v>2012</v>
      </c>
      <c r="C415">
        <v>32</v>
      </c>
      <c r="D415">
        <v>8</v>
      </c>
      <c r="E415" s="3">
        <v>9.59</v>
      </c>
      <c r="F415" s="3">
        <v>12.7</v>
      </c>
      <c r="G415" s="3">
        <v>-3.1</v>
      </c>
      <c r="H415" s="3">
        <v>1.5</v>
      </c>
      <c r="I415" s="3">
        <v>-3.5</v>
      </c>
      <c r="J415">
        <v>2</v>
      </c>
      <c r="K415">
        <v>1</v>
      </c>
      <c r="L415">
        <v>0.73199999999999998</v>
      </c>
      <c r="M415">
        <v>0.70899999999999996</v>
      </c>
      <c r="N415" s="3">
        <v>3.1</v>
      </c>
    </row>
    <row r="416" spans="1:14" x14ac:dyDescent="0.2">
      <c r="A416" t="s">
        <v>191</v>
      </c>
      <c r="B416">
        <v>2012</v>
      </c>
      <c r="C416">
        <v>32</v>
      </c>
      <c r="D416">
        <v>8</v>
      </c>
      <c r="E416" s="3">
        <v>8.1</v>
      </c>
      <c r="F416" s="3">
        <v>4</v>
      </c>
      <c r="G416" s="3">
        <v>4</v>
      </c>
      <c r="H416" s="3">
        <v>2.5</v>
      </c>
      <c r="I416" s="3">
        <v>3.04</v>
      </c>
      <c r="J416">
        <v>4</v>
      </c>
      <c r="K416">
        <v>1</v>
      </c>
      <c r="L416">
        <v>0.71099999999999997</v>
      </c>
      <c r="M416">
        <v>0.71699999999999997</v>
      </c>
      <c r="N416" s="3">
        <v>-4</v>
      </c>
    </row>
    <row r="417" spans="1:14" x14ac:dyDescent="0.2">
      <c r="A417" t="s">
        <v>199</v>
      </c>
      <c r="B417">
        <v>2012</v>
      </c>
      <c r="C417">
        <v>32</v>
      </c>
      <c r="D417">
        <v>8</v>
      </c>
      <c r="E417" s="3">
        <v>7.6</v>
      </c>
      <c r="F417" s="3">
        <v>-1.2</v>
      </c>
      <c r="G417" s="3">
        <v>8.9</v>
      </c>
      <c r="H417" s="3">
        <v>-5</v>
      </c>
      <c r="I417" s="3">
        <v>-1.73</v>
      </c>
      <c r="J417">
        <v>-3</v>
      </c>
      <c r="K417">
        <v>0</v>
      </c>
      <c r="L417">
        <v>0.71699999999999997</v>
      </c>
      <c r="M417">
        <v>0.63600000000000001</v>
      </c>
      <c r="N417" s="3">
        <v>-8.9</v>
      </c>
    </row>
    <row r="418" spans="1:14" x14ac:dyDescent="0.2">
      <c r="A418" t="s">
        <v>190</v>
      </c>
      <c r="B418">
        <v>2012</v>
      </c>
      <c r="C418">
        <v>32</v>
      </c>
      <c r="D418">
        <v>7</v>
      </c>
      <c r="E418" s="3">
        <v>14.54</v>
      </c>
      <c r="F418" s="3">
        <v>7.2</v>
      </c>
      <c r="G418" s="3">
        <v>7.3</v>
      </c>
      <c r="H418" s="3">
        <v>-1.1000000000000001</v>
      </c>
      <c r="I418" s="3">
        <v>3.64</v>
      </c>
      <c r="J418">
        <v>16</v>
      </c>
      <c r="K418">
        <v>1</v>
      </c>
      <c r="L418">
        <v>0.81499999999999995</v>
      </c>
      <c r="M418">
        <v>0.89500000000000002</v>
      </c>
      <c r="N418" s="3">
        <v>-7.3</v>
      </c>
    </row>
    <row r="419" spans="1:14" x14ac:dyDescent="0.2">
      <c r="A419" t="s">
        <v>193</v>
      </c>
      <c r="B419">
        <v>2012</v>
      </c>
      <c r="C419">
        <v>32</v>
      </c>
      <c r="D419">
        <v>7</v>
      </c>
      <c r="E419" s="3">
        <v>9.4499999999999993</v>
      </c>
      <c r="F419" s="3">
        <v>-2.2999999999999998</v>
      </c>
      <c r="G419" s="3">
        <v>11.8</v>
      </c>
      <c r="H419" s="3">
        <v>4.9000000000000004</v>
      </c>
      <c r="I419" s="3">
        <v>4.01</v>
      </c>
      <c r="J419">
        <v>14</v>
      </c>
      <c r="K419">
        <v>1</v>
      </c>
      <c r="L419">
        <v>0.76600000000000001</v>
      </c>
      <c r="M419">
        <v>0.85499999999999998</v>
      </c>
      <c r="N419" s="3">
        <v>-11.8</v>
      </c>
    </row>
    <row r="420" spans="1:14" x14ac:dyDescent="0.2">
      <c r="A420" t="s">
        <v>192</v>
      </c>
      <c r="B420">
        <v>2012</v>
      </c>
      <c r="C420">
        <v>32</v>
      </c>
      <c r="D420">
        <v>7</v>
      </c>
      <c r="E420" s="3">
        <v>7.35</v>
      </c>
      <c r="F420" s="3">
        <v>6.4</v>
      </c>
      <c r="G420" s="3">
        <v>-1</v>
      </c>
      <c r="H420" s="3">
        <v>-2.1</v>
      </c>
      <c r="I420" s="3">
        <v>2.81</v>
      </c>
      <c r="J420">
        <v>16</v>
      </c>
      <c r="K420">
        <v>1</v>
      </c>
      <c r="L420">
        <v>0.67800000000000005</v>
      </c>
      <c r="M420">
        <v>0.71599999999999997</v>
      </c>
      <c r="N420" s="3">
        <v>1</v>
      </c>
    </row>
    <row r="421" spans="1:14" x14ac:dyDescent="0.2">
      <c r="A421" t="s">
        <v>194</v>
      </c>
      <c r="B421">
        <v>2012</v>
      </c>
      <c r="C421">
        <v>32</v>
      </c>
      <c r="D421">
        <v>5</v>
      </c>
      <c r="E421" s="3">
        <v>11.82</v>
      </c>
      <c r="F421" s="3">
        <v>5.2</v>
      </c>
      <c r="G421" s="3">
        <v>6.6</v>
      </c>
      <c r="H421" s="3">
        <v>1.7</v>
      </c>
      <c r="I421" s="3">
        <v>-3.42</v>
      </c>
      <c r="J421">
        <v>7</v>
      </c>
      <c r="K421">
        <v>1</v>
      </c>
      <c r="L421">
        <v>0.81200000000000006</v>
      </c>
      <c r="M421">
        <v>0.84799999999999998</v>
      </c>
      <c r="N421" s="3">
        <v>-6.6</v>
      </c>
    </row>
    <row r="422" spans="1:14" x14ac:dyDescent="0.2">
      <c r="A422" t="s">
        <v>204</v>
      </c>
      <c r="B422">
        <v>2012</v>
      </c>
      <c r="C422">
        <v>32</v>
      </c>
      <c r="D422">
        <v>5</v>
      </c>
      <c r="E422" s="3">
        <v>1.77</v>
      </c>
      <c r="F422" s="3">
        <v>-0.8</v>
      </c>
      <c r="G422" s="3">
        <v>2.6</v>
      </c>
      <c r="H422" s="3">
        <v>-1.3</v>
      </c>
      <c r="I422" s="3">
        <v>13.98</v>
      </c>
      <c r="J422">
        <v>12</v>
      </c>
      <c r="K422">
        <v>1</v>
      </c>
      <c r="L422">
        <v>0.55900000000000005</v>
      </c>
      <c r="M422">
        <v>0.64700000000000002</v>
      </c>
      <c r="N422" s="3">
        <v>-2.6</v>
      </c>
    </row>
    <row r="423" spans="1:14" x14ac:dyDescent="0.2">
      <c r="A423" t="s">
        <v>197</v>
      </c>
      <c r="B423">
        <v>2012</v>
      </c>
      <c r="C423">
        <v>32</v>
      </c>
      <c r="D423">
        <v>3</v>
      </c>
      <c r="E423" s="3">
        <v>4.5599999999999996</v>
      </c>
      <c r="F423" s="3">
        <v>3.3</v>
      </c>
      <c r="G423" s="3">
        <v>1.2</v>
      </c>
      <c r="H423" s="3">
        <v>5.0999999999999996</v>
      </c>
      <c r="I423" s="3">
        <v>-2.4500000000000002</v>
      </c>
      <c r="J423">
        <v>9</v>
      </c>
      <c r="K423">
        <v>1</v>
      </c>
      <c r="L423">
        <v>0.67800000000000005</v>
      </c>
      <c r="M423">
        <v>0.68</v>
      </c>
      <c r="N423" s="3">
        <v>-1.2</v>
      </c>
    </row>
    <row r="424" spans="1:14" x14ac:dyDescent="0.2">
      <c r="A424" t="s">
        <v>198</v>
      </c>
      <c r="B424">
        <v>2012</v>
      </c>
      <c r="C424">
        <v>32</v>
      </c>
      <c r="D424">
        <v>3</v>
      </c>
      <c r="E424" s="3">
        <v>2.1</v>
      </c>
      <c r="F424" s="3">
        <v>-1.4</v>
      </c>
      <c r="G424" s="3">
        <v>3.4</v>
      </c>
      <c r="H424" s="3">
        <v>3.9</v>
      </c>
      <c r="I424" s="3">
        <v>9.86</v>
      </c>
      <c r="J424">
        <v>-6</v>
      </c>
      <c r="K424">
        <v>0</v>
      </c>
      <c r="L424">
        <v>0.53900000000000003</v>
      </c>
      <c r="M424">
        <v>0.49099999999999999</v>
      </c>
      <c r="N424" s="3">
        <v>-3.4</v>
      </c>
    </row>
    <row r="425" spans="1:14" x14ac:dyDescent="0.2">
      <c r="A425" t="s">
        <v>202</v>
      </c>
      <c r="B425">
        <v>2012</v>
      </c>
      <c r="C425">
        <v>32</v>
      </c>
      <c r="D425">
        <v>1</v>
      </c>
      <c r="E425" s="3">
        <v>3.52</v>
      </c>
      <c r="F425" s="3">
        <v>-2.5</v>
      </c>
      <c r="G425" s="3">
        <v>6.1</v>
      </c>
      <c r="H425" s="3">
        <v>-7.1</v>
      </c>
      <c r="I425" s="3">
        <v>-6.06</v>
      </c>
      <c r="J425">
        <v>3</v>
      </c>
      <c r="K425">
        <v>1</v>
      </c>
      <c r="L425">
        <v>0.64500000000000002</v>
      </c>
      <c r="M425">
        <v>0.59899999999999998</v>
      </c>
      <c r="N425" s="3">
        <v>-6.1</v>
      </c>
    </row>
    <row r="426" spans="1:14" x14ac:dyDescent="0.2">
      <c r="A426" t="s">
        <v>205</v>
      </c>
      <c r="B426">
        <v>2012</v>
      </c>
      <c r="C426">
        <v>32</v>
      </c>
      <c r="D426">
        <v>1</v>
      </c>
      <c r="E426" s="3">
        <v>1.99</v>
      </c>
      <c r="F426" s="3">
        <v>-2.7</v>
      </c>
      <c r="G426" s="3">
        <v>4.9000000000000004</v>
      </c>
      <c r="H426" s="3">
        <v>-7.6</v>
      </c>
      <c r="I426" s="3">
        <v>4.6100000000000003</v>
      </c>
      <c r="J426">
        <v>-6</v>
      </c>
      <c r="K426">
        <v>0</v>
      </c>
      <c r="L426">
        <v>0.57099999999999995</v>
      </c>
      <c r="M426">
        <v>0.56699999999999995</v>
      </c>
      <c r="N426" s="3">
        <v>-4.9000000000000004</v>
      </c>
    </row>
    <row r="427" spans="1:14" x14ac:dyDescent="0.2">
      <c r="A427" t="s">
        <v>201</v>
      </c>
      <c r="B427">
        <v>2012</v>
      </c>
      <c r="C427">
        <v>32</v>
      </c>
      <c r="D427">
        <v>1</v>
      </c>
      <c r="E427" s="3">
        <v>-0.68</v>
      </c>
      <c r="F427" s="3">
        <v>-5.2</v>
      </c>
      <c r="G427" s="3">
        <v>4.5</v>
      </c>
      <c r="H427" s="3">
        <v>0.8</v>
      </c>
      <c r="I427" s="3">
        <v>7.18</v>
      </c>
      <c r="J427">
        <v>3</v>
      </c>
      <c r="K427">
        <v>1</v>
      </c>
      <c r="L427">
        <v>0.45800000000000002</v>
      </c>
      <c r="M427">
        <v>0.46300000000000002</v>
      </c>
      <c r="N427" s="3">
        <v>-4.5</v>
      </c>
    </row>
    <row r="428" spans="1:14" x14ac:dyDescent="0.2">
      <c r="A428" t="s">
        <v>209</v>
      </c>
      <c r="B428">
        <v>2012</v>
      </c>
      <c r="C428">
        <v>16</v>
      </c>
      <c r="D428">
        <v>12</v>
      </c>
      <c r="E428" s="3">
        <v>14.53</v>
      </c>
      <c r="F428" s="3">
        <v>10</v>
      </c>
      <c r="G428" s="3">
        <v>4.5</v>
      </c>
      <c r="H428" s="3">
        <v>4.8</v>
      </c>
      <c r="I428" s="3">
        <v>6.63</v>
      </c>
      <c r="J428">
        <v>8</v>
      </c>
      <c r="K428">
        <v>1</v>
      </c>
      <c r="L428">
        <v>0.84899999999999998</v>
      </c>
      <c r="M428">
        <v>0.86199999999999999</v>
      </c>
      <c r="N428" s="3">
        <v>-4.5</v>
      </c>
    </row>
    <row r="429" spans="1:14" x14ac:dyDescent="0.2">
      <c r="A429" t="s">
        <v>211</v>
      </c>
      <c r="B429">
        <v>2012</v>
      </c>
      <c r="C429">
        <v>16</v>
      </c>
      <c r="D429">
        <v>9</v>
      </c>
      <c r="E429" s="3">
        <v>12.5</v>
      </c>
      <c r="F429" s="3">
        <v>2.6</v>
      </c>
      <c r="G429" s="3">
        <v>9.8000000000000007</v>
      </c>
      <c r="H429" s="3">
        <v>-0.7</v>
      </c>
      <c r="I429" s="3">
        <v>2.9</v>
      </c>
      <c r="J429">
        <v>3</v>
      </c>
      <c r="K429">
        <v>1</v>
      </c>
      <c r="L429">
        <v>0.80400000000000005</v>
      </c>
      <c r="M429">
        <v>0.81899999999999995</v>
      </c>
      <c r="N429" s="3">
        <v>-9.8000000000000007</v>
      </c>
    </row>
    <row r="430" spans="1:14" x14ac:dyDescent="0.2">
      <c r="A430" t="s">
        <v>212</v>
      </c>
      <c r="B430">
        <v>2012</v>
      </c>
      <c r="C430">
        <v>16</v>
      </c>
      <c r="D430">
        <v>7</v>
      </c>
      <c r="E430" s="3">
        <v>8.84</v>
      </c>
      <c r="F430" s="3">
        <v>7.3</v>
      </c>
      <c r="G430" s="3">
        <v>1.5</v>
      </c>
      <c r="H430" s="3">
        <v>-1</v>
      </c>
      <c r="I430" s="3">
        <v>-6.4</v>
      </c>
      <c r="J430">
        <v>5</v>
      </c>
      <c r="K430">
        <v>1</v>
      </c>
      <c r="L430">
        <v>0.72599999999999998</v>
      </c>
      <c r="M430">
        <v>0.66900000000000004</v>
      </c>
      <c r="N430" s="3">
        <v>-1.5</v>
      </c>
    </row>
    <row r="431" spans="1:14" x14ac:dyDescent="0.2">
      <c r="A431" t="s">
        <v>210</v>
      </c>
      <c r="B431">
        <v>2012</v>
      </c>
      <c r="C431">
        <v>16</v>
      </c>
      <c r="D431">
        <v>4</v>
      </c>
      <c r="E431" s="3">
        <v>14.03</v>
      </c>
      <c r="F431" s="3">
        <v>8.8000000000000007</v>
      </c>
      <c r="G431" s="3">
        <v>5.2</v>
      </c>
      <c r="H431" s="3">
        <v>3.8</v>
      </c>
      <c r="I431" s="3">
        <v>6.46</v>
      </c>
      <c r="J431">
        <v>15</v>
      </c>
      <c r="K431">
        <v>1</v>
      </c>
      <c r="L431">
        <v>0.82899999999999996</v>
      </c>
      <c r="M431">
        <v>0.79300000000000004</v>
      </c>
      <c r="N431" s="3">
        <v>-5.2</v>
      </c>
    </row>
    <row r="432" spans="1:14" x14ac:dyDescent="0.2">
      <c r="A432" t="s">
        <v>213</v>
      </c>
      <c r="B432">
        <v>2012</v>
      </c>
      <c r="C432">
        <v>16</v>
      </c>
      <c r="D432">
        <v>4</v>
      </c>
      <c r="E432" s="3">
        <v>-1.57</v>
      </c>
      <c r="F432" s="3">
        <v>-8.4</v>
      </c>
      <c r="G432" s="3">
        <v>6.9</v>
      </c>
      <c r="H432" s="3">
        <v>5.7</v>
      </c>
      <c r="I432" s="3">
        <v>-0.54</v>
      </c>
      <c r="J432">
        <v>-10</v>
      </c>
      <c r="K432">
        <v>0</v>
      </c>
      <c r="L432">
        <v>0.47099999999999997</v>
      </c>
      <c r="M432">
        <v>0.47499999999999998</v>
      </c>
      <c r="N432" s="3">
        <v>-6.9</v>
      </c>
    </row>
    <row r="433" spans="1:14" x14ac:dyDescent="0.2">
      <c r="A433" t="s">
        <v>207</v>
      </c>
      <c r="B433">
        <v>2012</v>
      </c>
      <c r="C433">
        <v>16</v>
      </c>
      <c r="D433">
        <v>3</v>
      </c>
      <c r="E433" s="3">
        <v>9.98</v>
      </c>
      <c r="F433" s="3">
        <v>10.1</v>
      </c>
      <c r="G433" s="3">
        <v>0</v>
      </c>
      <c r="H433" s="3">
        <v>-1.9</v>
      </c>
      <c r="I433" s="3">
        <v>-1.94</v>
      </c>
      <c r="J433">
        <v>-13</v>
      </c>
      <c r="K433">
        <v>0</v>
      </c>
      <c r="L433">
        <v>0.76400000000000001</v>
      </c>
      <c r="M433">
        <v>0.60699999999999998</v>
      </c>
      <c r="N433" s="3">
        <v>0</v>
      </c>
    </row>
    <row r="434" spans="1:14" x14ac:dyDescent="0.2">
      <c r="A434" t="s">
        <v>206</v>
      </c>
      <c r="B434">
        <v>2012</v>
      </c>
      <c r="C434">
        <v>16</v>
      </c>
      <c r="D434">
        <v>3</v>
      </c>
      <c r="E434" s="3">
        <v>8.61</v>
      </c>
      <c r="F434" s="3">
        <v>2</v>
      </c>
      <c r="G434" s="3">
        <v>6.9</v>
      </c>
      <c r="H434" s="3">
        <v>-1.7</v>
      </c>
      <c r="I434" s="3">
        <v>4.07</v>
      </c>
      <c r="J434">
        <v>12</v>
      </c>
      <c r="K434">
        <v>1</v>
      </c>
      <c r="L434">
        <v>0.71699999999999997</v>
      </c>
      <c r="M434">
        <v>0.79500000000000004</v>
      </c>
      <c r="N434" s="3">
        <v>-6.9</v>
      </c>
    </row>
    <row r="435" spans="1:14" x14ac:dyDescent="0.2">
      <c r="A435" t="s">
        <v>208</v>
      </c>
      <c r="B435">
        <v>2012</v>
      </c>
      <c r="C435">
        <v>16</v>
      </c>
      <c r="D435">
        <v>3</v>
      </c>
      <c r="E435" s="3">
        <v>1.63</v>
      </c>
      <c r="F435" s="3">
        <v>3.8</v>
      </c>
      <c r="G435" s="3">
        <v>-2.1</v>
      </c>
      <c r="H435" s="3">
        <v>6.7</v>
      </c>
      <c r="I435" s="3">
        <v>2.42</v>
      </c>
      <c r="J435">
        <v>1</v>
      </c>
      <c r="K435">
        <v>1</v>
      </c>
      <c r="L435">
        <v>0.47499999999999998</v>
      </c>
      <c r="M435">
        <v>0.53700000000000003</v>
      </c>
      <c r="N435" s="3">
        <v>2.1</v>
      </c>
    </row>
    <row r="436" spans="1:14" x14ac:dyDescent="0.2">
      <c r="A436" t="s">
        <v>217</v>
      </c>
      <c r="B436">
        <v>2012</v>
      </c>
      <c r="C436">
        <v>8</v>
      </c>
      <c r="D436">
        <v>3</v>
      </c>
      <c r="E436" s="3">
        <v>-2.31</v>
      </c>
      <c r="F436" s="3">
        <v>-14.2</v>
      </c>
      <c r="G436" s="3">
        <v>11.9</v>
      </c>
      <c r="H436" s="3">
        <v>1.8</v>
      </c>
      <c r="I436" s="3">
        <v>2.5499999999999998</v>
      </c>
      <c r="J436">
        <v>4</v>
      </c>
      <c r="K436">
        <v>1</v>
      </c>
      <c r="L436">
        <v>0.45200000000000001</v>
      </c>
      <c r="M436">
        <v>0.44800000000000001</v>
      </c>
      <c r="N436" s="3">
        <v>-11.9</v>
      </c>
    </row>
    <row r="437" spans="1:14" x14ac:dyDescent="0.2">
      <c r="A437" t="s">
        <v>214</v>
      </c>
      <c r="B437">
        <v>2012</v>
      </c>
      <c r="C437">
        <v>8</v>
      </c>
      <c r="D437">
        <v>2</v>
      </c>
      <c r="E437" s="3">
        <v>10.78</v>
      </c>
      <c r="F437" s="3">
        <v>6.5</v>
      </c>
      <c r="G437" s="3">
        <v>4.3</v>
      </c>
      <c r="H437" s="3">
        <v>-0.3</v>
      </c>
      <c r="I437" s="3">
        <v>2.81</v>
      </c>
      <c r="J437">
        <v>12</v>
      </c>
      <c r="K437">
        <v>1</v>
      </c>
      <c r="L437">
        <v>0.76600000000000001</v>
      </c>
      <c r="M437">
        <v>0.76900000000000002</v>
      </c>
      <c r="N437" s="3">
        <v>-4.3</v>
      </c>
    </row>
    <row r="438" spans="1:14" x14ac:dyDescent="0.2">
      <c r="A438" t="s">
        <v>216</v>
      </c>
      <c r="B438">
        <v>2012</v>
      </c>
      <c r="C438">
        <v>8</v>
      </c>
      <c r="D438">
        <v>1</v>
      </c>
      <c r="E438" s="3">
        <v>-7.0000000000000007E-2</v>
      </c>
      <c r="F438" s="3">
        <v>2.1</v>
      </c>
      <c r="G438" s="3">
        <v>-2.1</v>
      </c>
      <c r="H438" s="3">
        <v>4.5</v>
      </c>
      <c r="I438" s="3">
        <v>-3.12</v>
      </c>
      <c r="J438">
        <v>-13</v>
      </c>
      <c r="K438">
        <v>0</v>
      </c>
      <c r="L438">
        <v>0.47</v>
      </c>
      <c r="M438">
        <v>0.52500000000000002</v>
      </c>
      <c r="N438" s="3">
        <v>2.1</v>
      </c>
    </row>
    <row r="439" spans="1:14" x14ac:dyDescent="0.2">
      <c r="A439" t="s">
        <v>215</v>
      </c>
      <c r="B439">
        <v>2012</v>
      </c>
      <c r="C439">
        <v>8</v>
      </c>
      <c r="D439">
        <v>1</v>
      </c>
      <c r="E439" s="3">
        <v>-3.97</v>
      </c>
      <c r="F439" s="3">
        <v>-0.8</v>
      </c>
      <c r="G439" s="3">
        <v>-3.3</v>
      </c>
      <c r="H439" s="3">
        <v>-2.5</v>
      </c>
      <c r="I439" s="3">
        <v>1.42</v>
      </c>
      <c r="J439">
        <v>-7</v>
      </c>
      <c r="K439">
        <v>0</v>
      </c>
      <c r="L439">
        <v>0.35599999999999998</v>
      </c>
      <c r="M439">
        <v>0.35799999999999998</v>
      </c>
      <c r="N439" s="3">
        <v>3.3</v>
      </c>
    </row>
    <row r="440" spans="1:14" x14ac:dyDescent="0.2">
      <c r="A440" t="s">
        <v>218</v>
      </c>
      <c r="B440">
        <v>2012</v>
      </c>
      <c r="C440">
        <v>4</v>
      </c>
      <c r="D440">
        <v>3</v>
      </c>
      <c r="E440" s="3">
        <v>11.66</v>
      </c>
      <c r="F440" s="3">
        <v>16.2</v>
      </c>
      <c r="G440" s="3">
        <v>-4.5999999999999996</v>
      </c>
      <c r="H440" s="3">
        <v>-0.8</v>
      </c>
      <c r="I440" s="3">
        <v>-1.61</v>
      </c>
      <c r="J440">
        <v>8</v>
      </c>
      <c r="K440">
        <v>1</v>
      </c>
      <c r="L440">
        <v>0.75</v>
      </c>
      <c r="M440">
        <v>0.74399999999999999</v>
      </c>
      <c r="N440" s="3">
        <v>4.5999999999999996</v>
      </c>
    </row>
    <row r="441" spans="1:14" x14ac:dyDescent="0.2">
      <c r="A441" t="s">
        <v>1324</v>
      </c>
      <c r="B441">
        <v>2012</v>
      </c>
      <c r="C441">
        <v>4</v>
      </c>
      <c r="D441">
        <v>0</v>
      </c>
      <c r="E441" s="3">
        <v>-3.42</v>
      </c>
      <c r="F441" s="3">
        <v>-3.9</v>
      </c>
      <c r="G441" s="3">
        <v>0.5</v>
      </c>
      <c r="H441" s="3">
        <v>-0.6</v>
      </c>
      <c r="I441" s="3">
        <v>6.75</v>
      </c>
      <c r="J441">
        <v>2</v>
      </c>
      <c r="K441">
        <v>1</v>
      </c>
      <c r="L441">
        <v>0.6</v>
      </c>
      <c r="M441">
        <v>0.60299999999999998</v>
      </c>
      <c r="N441" s="3">
        <v>-0.5</v>
      </c>
    </row>
    <row r="442" spans="1:14" x14ac:dyDescent="0.2">
      <c r="A442" t="s">
        <v>219</v>
      </c>
      <c r="B442">
        <v>2012</v>
      </c>
      <c r="C442">
        <v>2</v>
      </c>
      <c r="D442">
        <v>1</v>
      </c>
      <c r="E442" s="3">
        <v>5.18</v>
      </c>
      <c r="F442" s="3">
        <v>7.9</v>
      </c>
      <c r="G442" s="3">
        <v>-2.7</v>
      </c>
      <c r="H442" s="3">
        <v>-0.9</v>
      </c>
      <c r="I442" s="3">
        <v>-4.91</v>
      </c>
      <c r="J442">
        <v>8</v>
      </c>
      <c r="K442">
        <v>1</v>
      </c>
      <c r="L442">
        <v>0.6</v>
      </c>
      <c r="M442">
        <v>0.64100000000000001</v>
      </c>
      <c r="N442" s="3">
        <v>2.7</v>
      </c>
    </row>
    <row r="443" spans="1:14" x14ac:dyDescent="0.2">
      <c r="A443" t="s">
        <v>242</v>
      </c>
      <c r="B443">
        <v>2011</v>
      </c>
      <c r="C443">
        <v>64</v>
      </c>
      <c r="D443">
        <v>15</v>
      </c>
      <c r="E443" s="3">
        <v>37.425440000000002</v>
      </c>
      <c r="F443" s="3">
        <v>22.169</v>
      </c>
      <c r="G443" s="3">
        <v>15.256500000000001</v>
      </c>
      <c r="H443" s="3">
        <v>-2.6303000000000001</v>
      </c>
      <c r="I443" s="3">
        <v>5.04</v>
      </c>
      <c r="J443">
        <v>29</v>
      </c>
      <c r="K443">
        <v>1</v>
      </c>
      <c r="L443">
        <v>0.99</v>
      </c>
      <c r="M443">
        <v>0.997</v>
      </c>
      <c r="N443" s="3">
        <v>-15.256500000000001</v>
      </c>
    </row>
    <row r="444" spans="1:14" x14ac:dyDescent="0.2">
      <c r="A444" t="s">
        <v>243</v>
      </c>
      <c r="B444">
        <v>2011</v>
      </c>
      <c r="C444">
        <v>64</v>
      </c>
      <c r="D444">
        <v>15</v>
      </c>
      <c r="E444" s="3">
        <v>33.340910000000001</v>
      </c>
      <c r="F444" s="3">
        <v>24.702500000000001</v>
      </c>
      <c r="G444" s="3">
        <v>8.6387999999999998</v>
      </c>
      <c r="H444" s="3">
        <v>2.5596000000000001</v>
      </c>
      <c r="I444" s="3">
        <v>10.93</v>
      </c>
      <c r="J444">
        <v>42</v>
      </c>
      <c r="K444">
        <v>1</v>
      </c>
      <c r="L444">
        <v>0.99</v>
      </c>
      <c r="M444">
        <v>0.995</v>
      </c>
      <c r="N444" s="3">
        <v>-8.6387999999999998</v>
      </c>
    </row>
    <row r="445" spans="1:14" x14ac:dyDescent="0.2">
      <c r="A445" t="s">
        <v>244</v>
      </c>
      <c r="B445">
        <v>2011</v>
      </c>
      <c r="C445">
        <v>64</v>
      </c>
      <c r="D445">
        <v>15</v>
      </c>
      <c r="E445" s="3">
        <v>29.086970999999998</v>
      </c>
      <c r="F445" s="3">
        <v>16.597999999999999</v>
      </c>
      <c r="G445" s="3">
        <v>12.489100000000001</v>
      </c>
      <c r="H445" s="3">
        <v>5.9175000000000004</v>
      </c>
      <c r="I445" s="3">
        <v>1.74</v>
      </c>
      <c r="J445">
        <v>21</v>
      </c>
      <c r="K445">
        <v>1</v>
      </c>
      <c r="L445">
        <v>0.97</v>
      </c>
      <c r="M445">
        <v>0.99</v>
      </c>
      <c r="N445" s="3">
        <v>-12.489100000000001</v>
      </c>
    </row>
    <row r="446" spans="1:14" x14ac:dyDescent="0.2">
      <c r="A446" t="s">
        <v>245</v>
      </c>
      <c r="B446">
        <v>2011</v>
      </c>
      <c r="C446">
        <v>64</v>
      </c>
      <c r="D446">
        <v>15</v>
      </c>
      <c r="E446" s="3">
        <v>25.033100000000001</v>
      </c>
      <c r="F446" s="3">
        <v>18.195</v>
      </c>
      <c r="G446" s="3">
        <v>6.8379000000000003</v>
      </c>
      <c r="H446" s="3">
        <v>-5.5339999999999998</v>
      </c>
      <c r="I446" s="3">
        <v>-3.12</v>
      </c>
      <c r="J446">
        <v>23</v>
      </c>
      <c r="K446">
        <v>1</v>
      </c>
      <c r="L446">
        <v>0.95</v>
      </c>
      <c r="M446">
        <v>0.96699999999999997</v>
      </c>
      <c r="N446" s="3">
        <v>-6.8379000000000003</v>
      </c>
    </row>
    <row r="447" spans="1:14" x14ac:dyDescent="0.2">
      <c r="A447" t="s">
        <v>1191</v>
      </c>
      <c r="B447">
        <v>2011</v>
      </c>
      <c r="C447">
        <v>64</v>
      </c>
      <c r="D447">
        <v>13</v>
      </c>
      <c r="E447" s="3">
        <v>16.16337</v>
      </c>
      <c r="F447" s="3">
        <v>1.74</v>
      </c>
      <c r="G447" s="3">
        <v>14.424300000000001</v>
      </c>
      <c r="H447" s="3">
        <v>-2.61</v>
      </c>
      <c r="I447" s="3">
        <v>14.2</v>
      </c>
      <c r="J447">
        <v>15</v>
      </c>
      <c r="K447">
        <v>1</v>
      </c>
      <c r="L447">
        <v>0.93</v>
      </c>
      <c r="M447">
        <v>0.93300000000000005</v>
      </c>
      <c r="N447" s="3">
        <v>-14.424300000000001</v>
      </c>
    </row>
    <row r="448" spans="1:14" x14ac:dyDescent="0.2">
      <c r="A448" t="s">
        <v>246</v>
      </c>
      <c r="B448">
        <v>2011</v>
      </c>
      <c r="C448">
        <v>64</v>
      </c>
      <c r="D448">
        <v>13</v>
      </c>
      <c r="E448" s="3">
        <v>21.025130000000001</v>
      </c>
      <c r="F448" s="3">
        <v>7.8230000000000004</v>
      </c>
      <c r="G448" s="3">
        <v>13.2018</v>
      </c>
      <c r="H448" s="3">
        <v>-4.2393999999999998</v>
      </c>
      <c r="I448" s="3">
        <v>4.22</v>
      </c>
      <c r="J448">
        <v>18</v>
      </c>
      <c r="K448">
        <v>1</v>
      </c>
      <c r="L448">
        <v>0.94</v>
      </c>
      <c r="M448">
        <v>0.93500000000000005</v>
      </c>
      <c r="N448" s="3">
        <v>-13.2018</v>
      </c>
    </row>
    <row r="449" spans="1:14" x14ac:dyDescent="0.2">
      <c r="A449" t="s">
        <v>247</v>
      </c>
      <c r="B449">
        <v>2011</v>
      </c>
      <c r="C449">
        <v>64</v>
      </c>
      <c r="D449">
        <v>13</v>
      </c>
      <c r="E449" s="3">
        <v>20.896789999999999</v>
      </c>
      <c r="F449" s="3">
        <v>17.989000000000001</v>
      </c>
      <c r="G449" s="3">
        <v>2.9083999999999999</v>
      </c>
      <c r="H449" s="3">
        <v>-2.8445</v>
      </c>
      <c r="I449" s="3">
        <v>0.39</v>
      </c>
      <c r="J449">
        <v>13</v>
      </c>
      <c r="K449">
        <v>1</v>
      </c>
      <c r="L449">
        <v>0.94</v>
      </c>
      <c r="M449">
        <v>0.90600000000000003</v>
      </c>
      <c r="N449" s="3">
        <v>-2.9083999999999999</v>
      </c>
    </row>
    <row r="450" spans="1:14" x14ac:dyDescent="0.2">
      <c r="A450" t="s">
        <v>248</v>
      </c>
      <c r="B450">
        <v>2011</v>
      </c>
      <c r="C450">
        <v>64</v>
      </c>
      <c r="D450">
        <v>13</v>
      </c>
      <c r="E450" s="3">
        <v>15.422890000000001</v>
      </c>
      <c r="F450" s="3">
        <v>11.052</v>
      </c>
      <c r="G450" s="3">
        <v>4.3714000000000004</v>
      </c>
      <c r="H450" s="3">
        <v>-1.8517999999999999</v>
      </c>
      <c r="I450" s="3">
        <v>-0.96</v>
      </c>
      <c r="J450">
        <v>28</v>
      </c>
      <c r="K450">
        <v>1</v>
      </c>
      <c r="L450">
        <v>0.92</v>
      </c>
      <c r="M450">
        <v>0.95</v>
      </c>
      <c r="N450" s="3">
        <v>-4.3714000000000004</v>
      </c>
    </row>
    <row r="451" spans="1:14" x14ac:dyDescent="0.2">
      <c r="A451" t="s">
        <v>251</v>
      </c>
      <c r="B451">
        <v>2011</v>
      </c>
      <c r="C451">
        <v>64</v>
      </c>
      <c r="D451">
        <v>11</v>
      </c>
      <c r="E451" s="3">
        <v>22.369669999999999</v>
      </c>
      <c r="F451" s="3">
        <v>20.011199999999999</v>
      </c>
      <c r="G451" s="3">
        <v>2.3582999999999998</v>
      </c>
      <c r="H451" s="3">
        <v>1.7855000000000001</v>
      </c>
      <c r="I451" s="3">
        <v>1.03</v>
      </c>
      <c r="J451">
        <v>22</v>
      </c>
      <c r="K451">
        <v>1</v>
      </c>
      <c r="L451">
        <v>0.95</v>
      </c>
      <c r="M451">
        <v>0.92200000000000004</v>
      </c>
      <c r="N451" s="3">
        <v>-2.3582999999999998</v>
      </c>
    </row>
    <row r="452" spans="1:14" x14ac:dyDescent="0.2">
      <c r="A452" t="s">
        <v>249</v>
      </c>
      <c r="B452">
        <v>2011</v>
      </c>
      <c r="C452">
        <v>64</v>
      </c>
      <c r="D452">
        <v>11</v>
      </c>
      <c r="E452" s="3">
        <v>18.007549999999998</v>
      </c>
      <c r="F452" s="3">
        <v>12.757999999999999</v>
      </c>
      <c r="G452" s="3">
        <v>5.2489999999999997</v>
      </c>
      <c r="H452" s="3">
        <v>-0.37940000000000002</v>
      </c>
      <c r="I452" s="3">
        <v>0.82</v>
      </c>
      <c r="J452">
        <v>17</v>
      </c>
      <c r="K452">
        <v>1</v>
      </c>
      <c r="L452">
        <v>0.9</v>
      </c>
      <c r="M452">
        <v>0.89600000000000002</v>
      </c>
      <c r="N452" s="3">
        <v>-5.2489999999999997</v>
      </c>
    </row>
    <row r="453" spans="1:14" x14ac:dyDescent="0.2">
      <c r="A453" t="s">
        <v>250</v>
      </c>
      <c r="B453">
        <v>2011</v>
      </c>
      <c r="C453">
        <v>64</v>
      </c>
      <c r="D453">
        <v>11</v>
      </c>
      <c r="E453" s="3">
        <v>14.12326</v>
      </c>
      <c r="F453" s="3">
        <v>9.4480000000000004</v>
      </c>
      <c r="G453" s="3">
        <v>4.6753</v>
      </c>
      <c r="H453" s="3">
        <v>0.39600000000000002</v>
      </c>
      <c r="I453" s="3">
        <v>3.39</v>
      </c>
      <c r="J453">
        <v>29</v>
      </c>
      <c r="K453">
        <v>1</v>
      </c>
      <c r="L453">
        <v>0.85</v>
      </c>
      <c r="M453">
        <v>0.81399999999999995</v>
      </c>
      <c r="N453" s="3">
        <v>-4.6753</v>
      </c>
    </row>
    <row r="454" spans="1:14" x14ac:dyDescent="0.2">
      <c r="A454" t="s">
        <v>252</v>
      </c>
      <c r="B454">
        <v>2011</v>
      </c>
      <c r="C454">
        <v>64</v>
      </c>
      <c r="D454">
        <v>11</v>
      </c>
      <c r="E454" s="3">
        <v>15.89554</v>
      </c>
      <c r="F454" s="3">
        <v>5.819</v>
      </c>
      <c r="G454" s="3">
        <v>10.077199999999999</v>
      </c>
      <c r="H454" s="3">
        <v>6.8651999999999997</v>
      </c>
      <c r="I454" s="3">
        <v>-1.72</v>
      </c>
      <c r="J454">
        <v>8</v>
      </c>
      <c r="K454">
        <v>1</v>
      </c>
      <c r="L454">
        <v>0.86</v>
      </c>
      <c r="M454">
        <v>0.85599999999999998</v>
      </c>
      <c r="N454" s="3">
        <v>-10.077199999999999</v>
      </c>
    </row>
    <row r="455" spans="1:14" x14ac:dyDescent="0.2">
      <c r="A455" t="s">
        <v>253</v>
      </c>
      <c r="B455">
        <v>2011</v>
      </c>
      <c r="C455">
        <v>64</v>
      </c>
      <c r="D455">
        <v>9</v>
      </c>
      <c r="E455" s="3">
        <v>16.454260000000001</v>
      </c>
      <c r="F455" s="3">
        <v>11.541</v>
      </c>
      <c r="G455" s="3">
        <v>4.9127000000000001</v>
      </c>
      <c r="H455" s="3">
        <v>2.5815000000000001</v>
      </c>
      <c r="I455" s="3">
        <v>7.82</v>
      </c>
      <c r="J455">
        <v>2</v>
      </c>
      <c r="K455">
        <v>1</v>
      </c>
      <c r="L455">
        <v>0.9</v>
      </c>
      <c r="M455">
        <v>0.88200000000000001</v>
      </c>
      <c r="N455" s="3">
        <v>-4.9127000000000001</v>
      </c>
    </row>
    <row r="456" spans="1:14" x14ac:dyDescent="0.2">
      <c r="A456" t="s">
        <v>255</v>
      </c>
      <c r="B456">
        <v>2011</v>
      </c>
      <c r="C456">
        <v>64</v>
      </c>
      <c r="D456">
        <v>9</v>
      </c>
      <c r="E456" s="3">
        <v>16.077470000000002</v>
      </c>
      <c r="F456" s="3">
        <v>6.0389999999999997</v>
      </c>
      <c r="G456" s="3">
        <v>10.0383</v>
      </c>
      <c r="H456" s="3">
        <v>3.1480999999999999</v>
      </c>
      <c r="I456" s="3">
        <v>-1.85</v>
      </c>
      <c r="J456">
        <v>-1</v>
      </c>
      <c r="K456">
        <v>0</v>
      </c>
      <c r="L456">
        <v>0.88</v>
      </c>
      <c r="M456">
        <v>0.80500000000000005</v>
      </c>
      <c r="N456" s="3">
        <v>-10.0383</v>
      </c>
    </row>
    <row r="457" spans="1:14" x14ac:dyDescent="0.2">
      <c r="A457" t="s">
        <v>254</v>
      </c>
      <c r="B457">
        <v>2011</v>
      </c>
      <c r="C457">
        <v>64</v>
      </c>
      <c r="D457">
        <v>9</v>
      </c>
      <c r="E457" s="3">
        <v>13.7881</v>
      </c>
      <c r="F457" s="3">
        <v>-2.4</v>
      </c>
      <c r="G457" s="3">
        <v>16.188600000000001</v>
      </c>
      <c r="H457" s="3">
        <v>-5.7483000000000004</v>
      </c>
      <c r="I457" s="3">
        <v>-7.56</v>
      </c>
      <c r="J457">
        <v>4</v>
      </c>
      <c r="K457">
        <v>1</v>
      </c>
      <c r="L457">
        <v>0.87</v>
      </c>
      <c r="M457">
        <v>0.84499999999999997</v>
      </c>
      <c r="N457" s="3">
        <v>-16.188600000000001</v>
      </c>
    </row>
    <row r="458" spans="1:14" x14ac:dyDescent="0.2">
      <c r="A458" t="s">
        <v>256</v>
      </c>
      <c r="B458">
        <v>2011</v>
      </c>
      <c r="C458">
        <v>64</v>
      </c>
      <c r="D458">
        <v>9</v>
      </c>
      <c r="E458" s="3">
        <v>6.63</v>
      </c>
      <c r="F458" s="3">
        <v>9.7100000000000009</v>
      </c>
      <c r="G458" s="3">
        <v>-3.08</v>
      </c>
      <c r="H458" s="3">
        <v>-11.874499999999999</v>
      </c>
      <c r="I458" s="3">
        <v>2.4900000000000002</v>
      </c>
      <c r="J458">
        <v>14</v>
      </c>
      <c r="K458">
        <v>1</v>
      </c>
      <c r="L458">
        <v>0.61</v>
      </c>
      <c r="M458">
        <v>0.65800000000000003</v>
      </c>
      <c r="N458" s="3">
        <v>3.08</v>
      </c>
    </row>
    <row r="459" spans="1:14" x14ac:dyDescent="0.2">
      <c r="A459" t="s">
        <v>258</v>
      </c>
      <c r="B459">
        <v>2011</v>
      </c>
      <c r="C459">
        <v>64</v>
      </c>
      <c r="D459">
        <v>7</v>
      </c>
      <c r="E459" s="3">
        <v>11.921559999999999</v>
      </c>
      <c r="F459" s="3">
        <v>12.263</v>
      </c>
      <c r="G459" s="3">
        <v>-0.34100000000000003</v>
      </c>
      <c r="H459" s="3">
        <v>-2.3216000000000001</v>
      </c>
      <c r="I459" s="3">
        <v>2.88</v>
      </c>
      <c r="J459">
        <v>2</v>
      </c>
      <c r="K459">
        <v>1</v>
      </c>
      <c r="L459">
        <v>0.77</v>
      </c>
      <c r="M459">
        <v>0.66800000000000004</v>
      </c>
      <c r="N459" s="3">
        <v>0.34100000000000003</v>
      </c>
    </row>
    <row r="460" spans="1:14" x14ac:dyDescent="0.2">
      <c r="A460" t="s">
        <v>257</v>
      </c>
      <c r="B460">
        <v>2011</v>
      </c>
      <c r="C460">
        <v>64</v>
      </c>
      <c r="D460">
        <v>7</v>
      </c>
      <c r="E460" s="3">
        <v>2.7275</v>
      </c>
      <c r="F460" s="3">
        <v>5.4569999999999999</v>
      </c>
      <c r="G460" s="3">
        <v>-2.7298</v>
      </c>
      <c r="H460" s="3">
        <v>-1.2841</v>
      </c>
      <c r="I460" s="3">
        <v>8.35</v>
      </c>
      <c r="J460">
        <v>8</v>
      </c>
      <c r="K460">
        <v>1</v>
      </c>
      <c r="L460">
        <v>0.49</v>
      </c>
      <c r="M460">
        <v>0.55000000000000004</v>
      </c>
      <c r="N460" s="3">
        <v>2.7298</v>
      </c>
    </row>
    <row r="461" spans="1:14" x14ac:dyDescent="0.2">
      <c r="A461" t="s">
        <v>259</v>
      </c>
      <c r="B461">
        <v>2011</v>
      </c>
      <c r="C461">
        <v>64</v>
      </c>
      <c r="D461">
        <v>7</v>
      </c>
      <c r="E461" s="3">
        <v>1.8641000000000001</v>
      </c>
      <c r="F461" s="3">
        <v>4.2030000000000003</v>
      </c>
      <c r="G461" s="3">
        <v>-2.3389000000000002</v>
      </c>
      <c r="H461" s="3">
        <v>3.7201</v>
      </c>
      <c r="I461" s="3">
        <v>3.49</v>
      </c>
      <c r="J461">
        <v>-3</v>
      </c>
      <c r="K461">
        <v>0</v>
      </c>
      <c r="L461">
        <v>0.56000000000000005</v>
      </c>
      <c r="M461">
        <v>0.58599999999999997</v>
      </c>
      <c r="N461" s="3">
        <v>2.3389000000000002</v>
      </c>
    </row>
    <row r="462" spans="1:14" x14ac:dyDescent="0.2">
      <c r="A462" t="s">
        <v>260</v>
      </c>
      <c r="B462">
        <v>2011</v>
      </c>
      <c r="C462">
        <v>64</v>
      </c>
      <c r="D462">
        <v>7</v>
      </c>
      <c r="E462" s="3">
        <v>-2.7604000000000002</v>
      </c>
      <c r="F462" s="3">
        <v>-0.88900000000000001</v>
      </c>
      <c r="G462" s="3">
        <v>-1.871</v>
      </c>
      <c r="H462" s="3">
        <v>3.9436</v>
      </c>
      <c r="I462" s="3">
        <v>4.25</v>
      </c>
      <c r="J462">
        <v>5</v>
      </c>
      <c r="K462">
        <v>1</v>
      </c>
      <c r="L462">
        <v>0.39</v>
      </c>
      <c r="M462">
        <v>0.57099999999999995</v>
      </c>
      <c r="N462" s="3">
        <v>1.871</v>
      </c>
    </row>
    <row r="463" spans="1:14" x14ac:dyDescent="0.2">
      <c r="A463" t="s">
        <v>263</v>
      </c>
      <c r="B463">
        <v>2011</v>
      </c>
      <c r="C463">
        <v>64</v>
      </c>
      <c r="D463">
        <v>5</v>
      </c>
      <c r="E463" s="3">
        <v>10.245229999999999</v>
      </c>
      <c r="F463" s="3">
        <v>4.7240000000000002</v>
      </c>
      <c r="G463" s="3">
        <v>5.5213999999999999</v>
      </c>
      <c r="H463" s="3">
        <v>-2.1953</v>
      </c>
      <c r="I463" s="3">
        <v>4.04</v>
      </c>
      <c r="J463">
        <v>-18</v>
      </c>
      <c r="K463">
        <v>0</v>
      </c>
      <c r="L463">
        <v>0.74</v>
      </c>
      <c r="M463">
        <v>0.70599999999999996</v>
      </c>
      <c r="N463" s="3">
        <v>-5.5213999999999999</v>
      </c>
    </row>
    <row r="464" spans="1:14" x14ac:dyDescent="0.2">
      <c r="A464" t="s">
        <v>261</v>
      </c>
      <c r="B464">
        <v>2011</v>
      </c>
      <c r="C464">
        <v>64</v>
      </c>
      <c r="D464">
        <v>5</v>
      </c>
      <c r="E464" s="3">
        <v>-1.5906</v>
      </c>
      <c r="F464" s="3">
        <v>-2.82</v>
      </c>
      <c r="G464" s="3">
        <v>1.22</v>
      </c>
      <c r="H464" s="3">
        <v>-1.89</v>
      </c>
      <c r="I464" s="3">
        <v>9.58</v>
      </c>
      <c r="J464">
        <v>-11</v>
      </c>
      <c r="K464">
        <v>0</v>
      </c>
      <c r="L464">
        <v>0.47</v>
      </c>
      <c r="M464">
        <v>0.51800000000000002</v>
      </c>
      <c r="N464" s="3">
        <v>-1.22</v>
      </c>
    </row>
    <row r="465" spans="1:14" x14ac:dyDescent="0.2">
      <c r="A465" t="s">
        <v>262</v>
      </c>
      <c r="B465">
        <v>2011</v>
      </c>
      <c r="C465">
        <v>64</v>
      </c>
      <c r="D465">
        <v>5</v>
      </c>
      <c r="E465" s="3">
        <v>3.0449000000000002</v>
      </c>
      <c r="F465" s="3">
        <v>-3.11</v>
      </c>
      <c r="G465" s="3">
        <v>6.15</v>
      </c>
      <c r="H465" s="3">
        <v>-7.94</v>
      </c>
      <c r="I465" s="3">
        <v>-4.28</v>
      </c>
      <c r="J465">
        <v>15</v>
      </c>
      <c r="K465">
        <v>1</v>
      </c>
      <c r="L465">
        <v>0.57999999999999996</v>
      </c>
      <c r="M465">
        <v>0.50900000000000001</v>
      </c>
      <c r="N465" s="3">
        <v>-6.15</v>
      </c>
    </row>
    <row r="466" spans="1:14" x14ac:dyDescent="0.2">
      <c r="A466" t="s">
        <v>264</v>
      </c>
      <c r="B466">
        <v>2011</v>
      </c>
      <c r="C466">
        <v>64</v>
      </c>
      <c r="D466">
        <v>5</v>
      </c>
      <c r="E466" s="3">
        <v>0.31759999999999999</v>
      </c>
      <c r="F466" s="3">
        <v>-0.11</v>
      </c>
      <c r="G466" s="3">
        <v>0.43</v>
      </c>
      <c r="H466" s="3">
        <v>-0.3</v>
      </c>
      <c r="I466" s="3">
        <v>-3.12</v>
      </c>
      <c r="J466">
        <v>-15</v>
      </c>
      <c r="K466">
        <v>0</v>
      </c>
      <c r="L466">
        <v>0.48</v>
      </c>
      <c r="M466">
        <v>0.33600000000000002</v>
      </c>
      <c r="N466" s="3">
        <v>-0.43</v>
      </c>
    </row>
    <row r="467" spans="1:14" x14ac:dyDescent="0.2">
      <c r="A467" t="s">
        <v>265</v>
      </c>
      <c r="B467">
        <v>2011</v>
      </c>
      <c r="C467">
        <v>64</v>
      </c>
      <c r="D467">
        <v>3</v>
      </c>
      <c r="E467" s="3">
        <v>10.250400000000001</v>
      </c>
      <c r="F467" s="3">
        <v>9.33</v>
      </c>
      <c r="G467" s="3">
        <v>0.92</v>
      </c>
      <c r="H467" s="3">
        <v>6.59</v>
      </c>
      <c r="I467" s="3">
        <v>2.44</v>
      </c>
      <c r="J467">
        <v>3</v>
      </c>
      <c r="K467">
        <v>1</v>
      </c>
      <c r="L467">
        <v>0.72</v>
      </c>
      <c r="M467">
        <v>0.56200000000000006</v>
      </c>
      <c r="N467" s="3">
        <v>-0.92</v>
      </c>
    </row>
    <row r="468" spans="1:14" x14ac:dyDescent="0.2">
      <c r="A468" t="s">
        <v>266</v>
      </c>
      <c r="B468">
        <v>2011</v>
      </c>
      <c r="C468">
        <v>64</v>
      </c>
      <c r="D468">
        <v>3</v>
      </c>
      <c r="E468" s="3">
        <v>2.5670999999999999</v>
      </c>
      <c r="F468" s="3">
        <v>-2.12</v>
      </c>
      <c r="G468" s="3">
        <v>4.6900000000000004</v>
      </c>
      <c r="H468" s="3">
        <v>4.9000000000000004</v>
      </c>
      <c r="I468" s="3">
        <v>2.72</v>
      </c>
      <c r="J468">
        <v>2</v>
      </c>
      <c r="K468">
        <v>1</v>
      </c>
      <c r="L468">
        <v>0.51</v>
      </c>
      <c r="M468">
        <v>0.55300000000000005</v>
      </c>
      <c r="N468" s="3">
        <v>-4.6900000000000004</v>
      </c>
    </row>
    <row r="469" spans="1:14" x14ac:dyDescent="0.2">
      <c r="A469" t="s">
        <v>267</v>
      </c>
      <c r="B469">
        <v>2011</v>
      </c>
      <c r="C469">
        <v>64</v>
      </c>
      <c r="D469">
        <v>3</v>
      </c>
      <c r="E469" s="3">
        <v>0.41370000000000001</v>
      </c>
      <c r="F469" s="3">
        <v>6.79</v>
      </c>
      <c r="G469" s="3">
        <v>-6.37</v>
      </c>
      <c r="H469" s="3">
        <v>-6.1</v>
      </c>
      <c r="I469" s="3">
        <v>-2.2400000000000002</v>
      </c>
      <c r="J469">
        <v>-7</v>
      </c>
      <c r="K469">
        <v>0</v>
      </c>
      <c r="L469">
        <v>0.47</v>
      </c>
      <c r="M469">
        <v>0.46899999999999997</v>
      </c>
      <c r="N469" s="3">
        <v>6.37</v>
      </c>
    </row>
    <row r="470" spans="1:14" x14ac:dyDescent="0.2">
      <c r="A470" t="s">
        <v>268</v>
      </c>
      <c r="B470">
        <v>2011</v>
      </c>
      <c r="C470">
        <v>64</v>
      </c>
      <c r="D470">
        <v>3</v>
      </c>
      <c r="E470" s="3">
        <v>-1.0537000000000001</v>
      </c>
      <c r="F470" s="3">
        <v>-0.94</v>
      </c>
      <c r="G470" s="3">
        <v>-0.11</v>
      </c>
      <c r="H470" s="3">
        <v>0.54</v>
      </c>
      <c r="I470" s="3">
        <v>-4.12</v>
      </c>
      <c r="J470">
        <v>2</v>
      </c>
      <c r="K470">
        <v>1</v>
      </c>
      <c r="L470">
        <v>0.43</v>
      </c>
      <c r="M470">
        <v>0.33300000000000002</v>
      </c>
      <c r="N470" s="3">
        <v>0.11</v>
      </c>
    </row>
    <row r="471" spans="1:14" x14ac:dyDescent="0.2">
      <c r="A471" t="s">
        <v>272</v>
      </c>
      <c r="B471">
        <v>2011</v>
      </c>
      <c r="C471">
        <v>64</v>
      </c>
      <c r="D471">
        <v>1</v>
      </c>
      <c r="E471" s="3">
        <v>0.74250000000000005</v>
      </c>
      <c r="F471" s="3">
        <v>3.15</v>
      </c>
      <c r="G471" s="3">
        <v>-2.4</v>
      </c>
      <c r="H471" s="3">
        <v>2.95</v>
      </c>
      <c r="I471" s="3">
        <v>1.9</v>
      </c>
      <c r="J471">
        <v>2</v>
      </c>
      <c r="K471">
        <v>1</v>
      </c>
      <c r="L471">
        <v>0.49</v>
      </c>
      <c r="M471">
        <v>0.56200000000000006</v>
      </c>
      <c r="N471" s="3">
        <v>2.4</v>
      </c>
    </row>
    <row r="472" spans="1:14" x14ac:dyDescent="0.2">
      <c r="A472" t="s">
        <v>269</v>
      </c>
      <c r="B472">
        <v>2011</v>
      </c>
      <c r="C472">
        <v>64</v>
      </c>
      <c r="D472">
        <v>1</v>
      </c>
      <c r="E472" s="3">
        <v>1.06E-2</v>
      </c>
      <c r="F472" s="3">
        <v>-1.48</v>
      </c>
      <c r="G472" s="3">
        <v>1.49</v>
      </c>
      <c r="H472" s="3">
        <v>-0.55000000000000004</v>
      </c>
      <c r="I472" s="3">
        <v>-0.13</v>
      </c>
      <c r="J472">
        <v>4</v>
      </c>
      <c r="K472">
        <v>1</v>
      </c>
      <c r="L472">
        <v>0.5</v>
      </c>
      <c r="M472">
        <v>0.39300000000000002</v>
      </c>
      <c r="N472" s="3">
        <v>-1.49</v>
      </c>
    </row>
    <row r="473" spans="1:14" x14ac:dyDescent="0.2">
      <c r="A473" t="s">
        <v>270</v>
      </c>
      <c r="B473">
        <v>2011</v>
      </c>
      <c r="C473">
        <v>64</v>
      </c>
      <c r="D473">
        <v>1</v>
      </c>
      <c r="E473" s="3">
        <v>2.0528</v>
      </c>
      <c r="F473" s="3">
        <v>2.81</v>
      </c>
      <c r="G473" s="3">
        <v>-0.76</v>
      </c>
      <c r="H473" s="3">
        <v>-4.42</v>
      </c>
      <c r="I473" s="3">
        <v>-6.29</v>
      </c>
      <c r="J473">
        <v>30</v>
      </c>
      <c r="K473">
        <v>1</v>
      </c>
      <c r="L473">
        <v>0.56999999999999995</v>
      </c>
      <c r="M473">
        <v>0.43099999999999999</v>
      </c>
      <c r="N473" s="3">
        <v>0.76</v>
      </c>
    </row>
    <row r="474" spans="1:14" x14ac:dyDescent="0.2">
      <c r="A474" t="s">
        <v>271</v>
      </c>
      <c r="B474">
        <v>2011</v>
      </c>
      <c r="C474">
        <v>64</v>
      </c>
      <c r="D474">
        <v>1</v>
      </c>
      <c r="E474" s="3">
        <v>-0.80859999999999999</v>
      </c>
      <c r="F474" s="3">
        <v>-1.98</v>
      </c>
      <c r="G474" s="3">
        <v>1.18</v>
      </c>
      <c r="H474" s="3">
        <v>1.64</v>
      </c>
      <c r="I474" s="3">
        <v>-2.15</v>
      </c>
      <c r="J474">
        <v>-11</v>
      </c>
      <c r="K474">
        <v>0</v>
      </c>
      <c r="L474">
        <v>0.47</v>
      </c>
      <c r="M474">
        <v>0.41399999999999998</v>
      </c>
      <c r="N474" s="3">
        <v>-1.18</v>
      </c>
    </row>
    <row r="475" spans="1:14" x14ac:dyDescent="0.2">
      <c r="A475" t="s">
        <v>283</v>
      </c>
      <c r="B475">
        <v>2011</v>
      </c>
      <c r="C475">
        <v>32</v>
      </c>
      <c r="D475">
        <v>8</v>
      </c>
      <c r="E475" s="3">
        <v>15.63</v>
      </c>
      <c r="F475" s="3">
        <v>5.2</v>
      </c>
      <c r="G475" s="3">
        <v>10.6</v>
      </c>
      <c r="H475" s="3">
        <v>0.5</v>
      </c>
      <c r="I475" s="3">
        <v>0.63</v>
      </c>
      <c r="J475">
        <v>-18</v>
      </c>
      <c r="K475">
        <v>0</v>
      </c>
      <c r="L475">
        <v>0.91</v>
      </c>
      <c r="M475">
        <v>0.83499999999999996</v>
      </c>
      <c r="N475" s="3">
        <v>-10.6</v>
      </c>
    </row>
    <row r="476" spans="1:14" x14ac:dyDescent="0.2">
      <c r="A476" t="s">
        <v>279</v>
      </c>
      <c r="B476">
        <v>2011</v>
      </c>
      <c r="C476">
        <v>32</v>
      </c>
      <c r="D476">
        <v>8</v>
      </c>
      <c r="E476" s="3">
        <v>8.83</v>
      </c>
      <c r="F476" s="3">
        <v>17.3</v>
      </c>
      <c r="G476" s="3">
        <v>-8.6</v>
      </c>
      <c r="H476" s="3">
        <v>-3.7</v>
      </c>
      <c r="I476" s="3">
        <v>2.2000000000000002</v>
      </c>
      <c r="J476">
        <v>-14</v>
      </c>
      <c r="K476">
        <v>0</v>
      </c>
      <c r="L476">
        <v>0.78</v>
      </c>
      <c r="M476">
        <v>0.70399999999999996</v>
      </c>
      <c r="N476" s="3">
        <v>8.6</v>
      </c>
    </row>
    <row r="477" spans="1:14" x14ac:dyDescent="0.2">
      <c r="A477" t="s">
        <v>275</v>
      </c>
      <c r="B477">
        <v>2011</v>
      </c>
      <c r="C477">
        <v>32</v>
      </c>
      <c r="D477">
        <v>8</v>
      </c>
      <c r="E477" s="3">
        <v>7.67</v>
      </c>
      <c r="F477" s="3">
        <v>5.8</v>
      </c>
      <c r="G477" s="3">
        <v>1.7</v>
      </c>
      <c r="H477" s="3">
        <v>3.7</v>
      </c>
      <c r="I477" s="3">
        <v>-2.76</v>
      </c>
      <c r="J477">
        <v>14</v>
      </c>
      <c r="K477">
        <v>1</v>
      </c>
      <c r="L477">
        <v>0.69</v>
      </c>
      <c r="M477">
        <v>0.76500000000000001</v>
      </c>
      <c r="N477" s="3">
        <v>-1.7</v>
      </c>
    </row>
    <row r="478" spans="1:14" x14ac:dyDescent="0.2">
      <c r="A478" t="s">
        <v>284</v>
      </c>
      <c r="B478">
        <v>2011</v>
      </c>
      <c r="C478">
        <v>32</v>
      </c>
      <c r="D478">
        <v>8</v>
      </c>
      <c r="E478" s="3">
        <v>5.7</v>
      </c>
      <c r="F478" s="3">
        <v>5.3</v>
      </c>
      <c r="G478" s="3">
        <v>0.4</v>
      </c>
      <c r="H478" s="3">
        <v>3.9</v>
      </c>
      <c r="I478" s="3">
        <v>-2.44</v>
      </c>
      <c r="J478">
        <v>22</v>
      </c>
      <c r="K478">
        <v>1</v>
      </c>
      <c r="L478">
        <v>0.61</v>
      </c>
      <c r="M478">
        <v>0.55900000000000005</v>
      </c>
      <c r="N478" s="3">
        <v>-0.4</v>
      </c>
    </row>
    <row r="479" spans="1:14" x14ac:dyDescent="0.2">
      <c r="A479" t="s">
        <v>281</v>
      </c>
      <c r="B479">
        <v>2011</v>
      </c>
      <c r="C479">
        <v>32</v>
      </c>
      <c r="D479">
        <v>8</v>
      </c>
      <c r="E479" s="3">
        <v>4.24</v>
      </c>
      <c r="F479" s="3">
        <v>-0.8</v>
      </c>
      <c r="G479" s="3">
        <v>5.0999999999999996</v>
      </c>
      <c r="H479" s="3">
        <v>-1.6</v>
      </c>
      <c r="I479" s="3">
        <v>5.04</v>
      </c>
      <c r="J479">
        <v>-4</v>
      </c>
      <c r="K479">
        <v>0</v>
      </c>
      <c r="L479">
        <v>0.68</v>
      </c>
      <c r="M479">
        <v>0.71699999999999997</v>
      </c>
      <c r="N479" s="3">
        <v>-5.0999999999999996</v>
      </c>
    </row>
    <row r="480" spans="1:14" x14ac:dyDescent="0.2">
      <c r="A480" t="s">
        <v>273</v>
      </c>
      <c r="B480">
        <v>2011</v>
      </c>
      <c r="C480">
        <v>32</v>
      </c>
      <c r="D480">
        <v>7</v>
      </c>
      <c r="E480" s="3">
        <v>14.44</v>
      </c>
      <c r="F480" s="3">
        <v>11</v>
      </c>
      <c r="G480" s="3">
        <v>3.6</v>
      </c>
      <c r="H480" s="3">
        <v>-0.6</v>
      </c>
      <c r="I480" s="3">
        <v>-0.26</v>
      </c>
      <c r="J480">
        <v>32</v>
      </c>
      <c r="K480">
        <v>1</v>
      </c>
      <c r="L480">
        <v>0.9</v>
      </c>
      <c r="M480">
        <v>0.89600000000000002</v>
      </c>
      <c r="N480" s="3">
        <v>-3.6</v>
      </c>
    </row>
    <row r="481" spans="1:14" x14ac:dyDescent="0.2">
      <c r="A481" t="s">
        <v>274</v>
      </c>
      <c r="B481">
        <v>2011</v>
      </c>
      <c r="C481">
        <v>32</v>
      </c>
      <c r="D481">
        <v>7</v>
      </c>
      <c r="E481" s="3">
        <v>12.78</v>
      </c>
      <c r="F481" s="3">
        <v>7.4</v>
      </c>
      <c r="G481" s="3">
        <v>5.0999999999999996</v>
      </c>
      <c r="H481" s="3">
        <v>7</v>
      </c>
      <c r="I481" s="3">
        <v>2.82</v>
      </c>
      <c r="J481">
        <v>2</v>
      </c>
      <c r="K481">
        <v>1</v>
      </c>
      <c r="L481">
        <v>0.87</v>
      </c>
      <c r="M481">
        <v>0.92500000000000004</v>
      </c>
      <c r="N481" s="3">
        <v>-5.0999999999999996</v>
      </c>
    </row>
    <row r="482" spans="1:14" x14ac:dyDescent="0.2">
      <c r="A482" t="s">
        <v>276</v>
      </c>
      <c r="B482">
        <v>2011</v>
      </c>
      <c r="C482">
        <v>32</v>
      </c>
      <c r="D482">
        <v>7</v>
      </c>
      <c r="E482" s="3">
        <v>12.68</v>
      </c>
      <c r="F482" s="3">
        <v>7.4</v>
      </c>
      <c r="G482" s="3">
        <v>5.3</v>
      </c>
      <c r="H482" s="3">
        <v>-1.6</v>
      </c>
      <c r="I482" s="3">
        <v>-5.55</v>
      </c>
      <c r="J482">
        <v>-1</v>
      </c>
      <c r="K482">
        <v>0</v>
      </c>
      <c r="L482">
        <v>0.18</v>
      </c>
      <c r="M482">
        <v>0.78600000000000003</v>
      </c>
      <c r="N482" s="3">
        <v>-5.3</v>
      </c>
    </row>
    <row r="483" spans="1:14" x14ac:dyDescent="0.2">
      <c r="A483" t="s">
        <v>278</v>
      </c>
      <c r="B483">
        <v>2011</v>
      </c>
      <c r="C483">
        <v>32</v>
      </c>
      <c r="D483">
        <v>5</v>
      </c>
      <c r="E483" s="3">
        <v>8.35</v>
      </c>
      <c r="F483" s="3">
        <v>3.5</v>
      </c>
      <c r="G483" s="3">
        <v>4.9000000000000004</v>
      </c>
      <c r="H483" s="3">
        <v>-2.1</v>
      </c>
      <c r="I483" s="3">
        <v>-1.95</v>
      </c>
      <c r="J483">
        <v>7</v>
      </c>
      <c r="K483">
        <v>1</v>
      </c>
      <c r="L483">
        <v>0.75</v>
      </c>
      <c r="M483">
        <v>0.81299999999999994</v>
      </c>
      <c r="N483" s="3">
        <v>-4.9000000000000004</v>
      </c>
    </row>
    <row r="484" spans="1:14" x14ac:dyDescent="0.2">
      <c r="A484" t="s">
        <v>280</v>
      </c>
      <c r="B484">
        <v>2011</v>
      </c>
      <c r="C484">
        <v>32</v>
      </c>
      <c r="D484">
        <v>5</v>
      </c>
      <c r="E484" s="3">
        <v>6.73</v>
      </c>
      <c r="F484" s="3">
        <v>7.1</v>
      </c>
      <c r="G484" s="3">
        <v>-0.4</v>
      </c>
      <c r="H484" s="3">
        <v>-3.1</v>
      </c>
      <c r="I484" s="3">
        <v>-0.66</v>
      </c>
      <c r="J484">
        <v>8</v>
      </c>
      <c r="K484">
        <v>1</v>
      </c>
      <c r="L484">
        <v>0.78</v>
      </c>
      <c r="M484">
        <v>0.82199999999999995</v>
      </c>
      <c r="N484" s="3">
        <v>0.4</v>
      </c>
    </row>
    <row r="485" spans="1:14" x14ac:dyDescent="0.2">
      <c r="A485" t="s">
        <v>277</v>
      </c>
      <c r="B485">
        <v>2011</v>
      </c>
      <c r="C485">
        <v>32</v>
      </c>
      <c r="D485">
        <v>5</v>
      </c>
      <c r="E485" s="3">
        <v>0.46</v>
      </c>
      <c r="F485" s="3">
        <v>-5.7</v>
      </c>
      <c r="G485" s="3">
        <v>6.1</v>
      </c>
      <c r="H485" s="3">
        <v>0.7</v>
      </c>
      <c r="I485" s="3">
        <v>3.89</v>
      </c>
      <c r="J485">
        <v>3</v>
      </c>
      <c r="K485">
        <v>1</v>
      </c>
      <c r="L485">
        <v>0.64</v>
      </c>
      <c r="M485">
        <v>0.69899999999999995</v>
      </c>
      <c r="N485" s="3">
        <v>-6.1</v>
      </c>
    </row>
    <row r="486" spans="1:14" x14ac:dyDescent="0.2">
      <c r="A486" t="s">
        <v>282</v>
      </c>
      <c r="B486">
        <v>2011</v>
      </c>
      <c r="C486">
        <v>32</v>
      </c>
      <c r="D486">
        <v>3</v>
      </c>
      <c r="E486" s="3">
        <v>2.36</v>
      </c>
      <c r="F486" s="3">
        <v>5.0999999999999996</v>
      </c>
      <c r="G486" s="3">
        <v>-2.7</v>
      </c>
      <c r="H486" s="3">
        <v>2.2000000000000002</v>
      </c>
      <c r="I486" s="3">
        <v>9.2100000000000009</v>
      </c>
      <c r="J486">
        <v>11</v>
      </c>
      <c r="K486">
        <v>1</v>
      </c>
      <c r="L486">
        <v>0.56999999999999995</v>
      </c>
      <c r="M486">
        <v>0.63800000000000001</v>
      </c>
      <c r="N486" s="3">
        <v>2.7</v>
      </c>
    </row>
    <row r="487" spans="1:14" x14ac:dyDescent="0.2">
      <c r="A487" t="s">
        <v>287</v>
      </c>
      <c r="B487">
        <v>2011</v>
      </c>
      <c r="C487">
        <v>32</v>
      </c>
      <c r="D487">
        <v>1</v>
      </c>
      <c r="E487" s="3">
        <v>8.1199999999999992</v>
      </c>
      <c r="F487" s="3">
        <v>6.5</v>
      </c>
      <c r="G487" s="3">
        <v>1.6</v>
      </c>
      <c r="H487" s="3">
        <v>-1.2</v>
      </c>
      <c r="I487" s="3">
        <v>0.38</v>
      </c>
      <c r="J487">
        <v>17</v>
      </c>
      <c r="K487">
        <v>1</v>
      </c>
      <c r="L487">
        <v>0.72</v>
      </c>
      <c r="M487">
        <v>0.68200000000000005</v>
      </c>
      <c r="N487" s="3">
        <v>-1.6</v>
      </c>
    </row>
    <row r="488" spans="1:14" x14ac:dyDescent="0.2">
      <c r="A488" t="s">
        <v>286</v>
      </c>
      <c r="B488">
        <v>2011</v>
      </c>
      <c r="C488">
        <v>32</v>
      </c>
      <c r="D488">
        <v>1</v>
      </c>
      <c r="E488" s="3">
        <v>9.27</v>
      </c>
      <c r="F488" s="3">
        <v>12.6</v>
      </c>
      <c r="G488" s="3">
        <v>-3.3</v>
      </c>
      <c r="H488" s="3">
        <v>-9.9</v>
      </c>
      <c r="I488" s="3">
        <v>-3.41</v>
      </c>
      <c r="J488">
        <v>5</v>
      </c>
      <c r="K488">
        <v>1</v>
      </c>
      <c r="L488">
        <v>0.74</v>
      </c>
      <c r="M488">
        <v>0.56299999999999994</v>
      </c>
      <c r="N488" s="3">
        <v>3.3</v>
      </c>
    </row>
    <row r="489" spans="1:14" x14ac:dyDescent="0.2">
      <c r="A489" t="s">
        <v>285</v>
      </c>
      <c r="B489">
        <v>2011</v>
      </c>
      <c r="C489">
        <v>32</v>
      </c>
      <c r="D489">
        <v>1</v>
      </c>
      <c r="E489" s="3">
        <v>7.38</v>
      </c>
      <c r="F489" s="3">
        <v>-0.6</v>
      </c>
      <c r="G489" s="3">
        <v>8.9</v>
      </c>
      <c r="H489" s="3">
        <v>0</v>
      </c>
      <c r="I489" s="3">
        <v>1.44</v>
      </c>
      <c r="J489">
        <v>-1</v>
      </c>
      <c r="K489">
        <v>0</v>
      </c>
      <c r="L489">
        <v>0.76</v>
      </c>
      <c r="M489">
        <v>0.68200000000000005</v>
      </c>
      <c r="N489" s="3">
        <v>-8.9</v>
      </c>
    </row>
    <row r="490" spans="1:14" x14ac:dyDescent="0.2">
      <c r="A490" t="s">
        <v>1192</v>
      </c>
      <c r="B490">
        <v>2011</v>
      </c>
      <c r="C490">
        <v>32</v>
      </c>
      <c r="D490">
        <v>1</v>
      </c>
      <c r="E490" s="3">
        <v>4.12</v>
      </c>
      <c r="F490" s="3">
        <v>3.3</v>
      </c>
      <c r="G490" s="3">
        <v>0.9</v>
      </c>
      <c r="H490" s="3">
        <v>2.7</v>
      </c>
      <c r="I490" s="3">
        <v>-1.92</v>
      </c>
      <c r="J490">
        <v>8</v>
      </c>
      <c r="K490">
        <v>1</v>
      </c>
      <c r="L490">
        <v>0.63</v>
      </c>
      <c r="M490">
        <v>0.60599999999999998</v>
      </c>
      <c r="N490" s="3">
        <v>-0.9</v>
      </c>
    </row>
    <row r="491" spans="1:14" x14ac:dyDescent="0.2">
      <c r="A491" t="s">
        <v>290</v>
      </c>
      <c r="B491">
        <v>2011</v>
      </c>
      <c r="C491">
        <v>16</v>
      </c>
      <c r="D491">
        <v>11</v>
      </c>
      <c r="E491" s="3">
        <v>12.29</v>
      </c>
      <c r="F491" s="3">
        <v>6.9</v>
      </c>
      <c r="G491" s="3">
        <v>5.4</v>
      </c>
      <c r="H491" s="3">
        <v>6.3</v>
      </c>
      <c r="I491" s="3">
        <v>0.88</v>
      </c>
      <c r="J491">
        <v>20</v>
      </c>
      <c r="K491">
        <v>1</v>
      </c>
      <c r="L491">
        <v>0.82</v>
      </c>
      <c r="M491">
        <v>0.85199999999999998</v>
      </c>
      <c r="N491" s="3">
        <v>-5.4</v>
      </c>
    </row>
    <row r="492" spans="1:14" x14ac:dyDescent="0.2">
      <c r="A492" t="s">
        <v>291</v>
      </c>
      <c r="B492">
        <v>2011</v>
      </c>
      <c r="C492">
        <v>16</v>
      </c>
      <c r="D492">
        <v>9</v>
      </c>
      <c r="E492" s="3">
        <v>3.04</v>
      </c>
      <c r="F492" s="3">
        <v>-4.3</v>
      </c>
      <c r="G492" s="3">
        <v>7.1</v>
      </c>
      <c r="H492" s="3">
        <v>4.4000000000000004</v>
      </c>
      <c r="I492" s="3">
        <v>10.050000000000001</v>
      </c>
      <c r="J492">
        <v>18</v>
      </c>
      <c r="K492">
        <v>1</v>
      </c>
      <c r="L492">
        <v>0.63</v>
      </c>
      <c r="M492">
        <v>0.70399999999999996</v>
      </c>
      <c r="N492" s="3">
        <v>-7.1</v>
      </c>
    </row>
    <row r="493" spans="1:14" x14ac:dyDescent="0.2">
      <c r="A493" t="s">
        <v>294</v>
      </c>
      <c r="B493">
        <v>2011</v>
      </c>
      <c r="C493">
        <v>16</v>
      </c>
      <c r="D493">
        <v>4</v>
      </c>
      <c r="E493" s="3">
        <v>11.37</v>
      </c>
      <c r="F493" s="3">
        <v>9.9</v>
      </c>
      <c r="G493" s="3">
        <v>1.4</v>
      </c>
      <c r="H493" s="3">
        <v>-6.9</v>
      </c>
      <c r="I493" s="3">
        <v>-7.04</v>
      </c>
      <c r="J493">
        <v>-7</v>
      </c>
      <c r="K493">
        <v>0</v>
      </c>
      <c r="L493">
        <v>0.75</v>
      </c>
      <c r="M493">
        <v>0.65700000000000003</v>
      </c>
      <c r="N493" s="3">
        <v>-1.4</v>
      </c>
    </row>
    <row r="494" spans="1:14" x14ac:dyDescent="0.2">
      <c r="A494" t="s">
        <v>289</v>
      </c>
      <c r="B494">
        <v>2011</v>
      </c>
      <c r="C494">
        <v>16</v>
      </c>
      <c r="D494">
        <v>4</v>
      </c>
      <c r="E494" s="3">
        <v>11.19</v>
      </c>
      <c r="F494" s="3">
        <v>3.4</v>
      </c>
      <c r="G494" s="3">
        <v>7.7</v>
      </c>
      <c r="H494" s="3">
        <v>3.1</v>
      </c>
      <c r="I494" s="3">
        <v>3.52</v>
      </c>
      <c r="J494">
        <v>-16</v>
      </c>
      <c r="K494">
        <v>0</v>
      </c>
      <c r="L494">
        <v>0.84</v>
      </c>
      <c r="M494">
        <v>0.8</v>
      </c>
      <c r="N494" s="3">
        <v>-7.7</v>
      </c>
    </row>
    <row r="495" spans="1:14" x14ac:dyDescent="0.2">
      <c r="A495" t="s">
        <v>288</v>
      </c>
      <c r="B495">
        <v>2011</v>
      </c>
      <c r="C495">
        <v>16</v>
      </c>
      <c r="D495">
        <v>3</v>
      </c>
      <c r="E495" s="3">
        <v>8.9499999999999993</v>
      </c>
      <c r="F495" s="3">
        <v>6.9</v>
      </c>
      <c r="G495" s="3">
        <v>1.7</v>
      </c>
      <c r="H495" s="3">
        <v>-1.2</v>
      </c>
      <c r="I495" s="3">
        <v>-5.79</v>
      </c>
      <c r="J495">
        <v>-2</v>
      </c>
      <c r="K495">
        <v>0</v>
      </c>
      <c r="L495">
        <v>0.75</v>
      </c>
      <c r="M495">
        <v>0.78800000000000003</v>
      </c>
      <c r="N495" s="3">
        <v>-1.7</v>
      </c>
    </row>
    <row r="496" spans="1:14" x14ac:dyDescent="0.2">
      <c r="A496" t="s">
        <v>295</v>
      </c>
      <c r="B496">
        <v>2011</v>
      </c>
      <c r="C496">
        <v>16</v>
      </c>
      <c r="D496">
        <v>1</v>
      </c>
      <c r="E496" s="3">
        <v>4.49</v>
      </c>
      <c r="F496" s="3">
        <v>-7.6</v>
      </c>
      <c r="G496" s="3">
        <v>12</v>
      </c>
      <c r="H496" s="3">
        <v>1.3</v>
      </c>
      <c r="I496" s="3">
        <v>-4.07</v>
      </c>
      <c r="J496">
        <v>-1</v>
      </c>
      <c r="K496">
        <v>0</v>
      </c>
      <c r="L496">
        <v>0.64</v>
      </c>
      <c r="M496">
        <v>0.61899999999999999</v>
      </c>
      <c r="N496" s="3">
        <v>-12</v>
      </c>
    </row>
    <row r="497" spans="1:14" x14ac:dyDescent="0.2">
      <c r="A497" t="s">
        <v>292</v>
      </c>
      <c r="B497">
        <v>2011</v>
      </c>
      <c r="C497">
        <v>16</v>
      </c>
      <c r="D497">
        <v>1</v>
      </c>
      <c r="E497" s="3">
        <v>2.83</v>
      </c>
      <c r="F497" s="3">
        <v>-2.4</v>
      </c>
      <c r="G497" s="3">
        <v>5.3</v>
      </c>
      <c r="H497" s="3">
        <v>-2.6</v>
      </c>
      <c r="I497" s="3">
        <v>1.0900000000000001</v>
      </c>
      <c r="J497">
        <v>-7</v>
      </c>
      <c r="K497">
        <v>0</v>
      </c>
      <c r="L497">
        <v>0.67</v>
      </c>
      <c r="M497">
        <v>0.69599999999999995</v>
      </c>
      <c r="N497" s="3">
        <v>-5.3</v>
      </c>
    </row>
    <row r="498" spans="1:14" x14ac:dyDescent="0.2">
      <c r="A498" t="s">
        <v>293</v>
      </c>
      <c r="B498">
        <v>2011</v>
      </c>
      <c r="C498">
        <v>16</v>
      </c>
      <c r="D498">
        <v>1</v>
      </c>
      <c r="E498" s="3">
        <v>-3.43</v>
      </c>
      <c r="F498" s="3">
        <v>-2.4</v>
      </c>
      <c r="G498" s="3">
        <v>-1</v>
      </c>
      <c r="H498" s="3">
        <v>-7.7</v>
      </c>
      <c r="I498" s="3">
        <v>0.13</v>
      </c>
      <c r="J498">
        <v>9</v>
      </c>
      <c r="K498">
        <v>1</v>
      </c>
      <c r="L498">
        <v>0.44</v>
      </c>
      <c r="M498">
        <v>0.59599999999999997</v>
      </c>
      <c r="N498" s="3">
        <v>1</v>
      </c>
    </row>
    <row r="499" spans="1:14" x14ac:dyDescent="0.2">
      <c r="A499" t="s">
        <v>296</v>
      </c>
      <c r="B499">
        <v>2011</v>
      </c>
      <c r="C499">
        <v>8</v>
      </c>
      <c r="D499">
        <v>10</v>
      </c>
      <c r="E499" s="3">
        <v>16.98</v>
      </c>
      <c r="F499" s="3">
        <v>7.9</v>
      </c>
      <c r="G499" s="3">
        <v>9.1</v>
      </c>
      <c r="H499" s="3">
        <v>2.9</v>
      </c>
      <c r="I499" s="3">
        <v>0.26</v>
      </c>
      <c r="J499">
        <v>-10</v>
      </c>
      <c r="K499">
        <v>0</v>
      </c>
      <c r="L499">
        <v>0.88</v>
      </c>
      <c r="M499">
        <v>0.873</v>
      </c>
      <c r="N499" s="3">
        <v>-9.1</v>
      </c>
    </row>
    <row r="500" spans="1:14" x14ac:dyDescent="0.2">
      <c r="A500" t="s">
        <v>298</v>
      </c>
      <c r="B500">
        <v>2011</v>
      </c>
      <c r="C500">
        <v>8</v>
      </c>
      <c r="D500">
        <v>6</v>
      </c>
      <c r="E500" s="3">
        <v>4.6399999999999997</v>
      </c>
      <c r="F500" s="3">
        <v>2.5</v>
      </c>
      <c r="G500" s="3">
        <v>2.2000000000000002</v>
      </c>
      <c r="H500" s="3">
        <v>-1.2</v>
      </c>
      <c r="I500" s="3">
        <v>-3.02</v>
      </c>
      <c r="J500">
        <v>-3</v>
      </c>
      <c r="K500">
        <v>0</v>
      </c>
      <c r="L500">
        <v>0.69</v>
      </c>
      <c r="M500">
        <v>0.68</v>
      </c>
      <c r="N500" s="3">
        <v>-2.2000000000000002</v>
      </c>
    </row>
    <row r="501" spans="1:14" x14ac:dyDescent="0.2">
      <c r="A501" t="s">
        <v>299</v>
      </c>
      <c r="B501">
        <v>2011</v>
      </c>
      <c r="C501">
        <v>8</v>
      </c>
      <c r="D501">
        <v>2</v>
      </c>
      <c r="E501" s="3">
        <v>3.44</v>
      </c>
      <c r="F501" s="3">
        <v>-0.5</v>
      </c>
      <c r="G501" s="3">
        <v>3.9</v>
      </c>
      <c r="H501" s="3">
        <v>-0.6</v>
      </c>
      <c r="I501" s="3">
        <v>1.01</v>
      </c>
      <c r="J501">
        <v>2</v>
      </c>
      <c r="K501">
        <v>1</v>
      </c>
      <c r="L501">
        <v>0.61</v>
      </c>
      <c r="M501">
        <v>0.48599999999999999</v>
      </c>
      <c r="N501" s="3">
        <v>-3.9</v>
      </c>
    </row>
    <row r="502" spans="1:14" x14ac:dyDescent="0.2">
      <c r="A502" t="s">
        <v>297</v>
      </c>
      <c r="B502">
        <v>2011</v>
      </c>
      <c r="C502">
        <v>8</v>
      </c>
      <c r="D502">
        <v>2</v>
      </c>
      <c r="E502" s="3">
        <v>-3.39</v>
      </c>
      <c r="F502" s="3">
        <v>-6.6</v>
      </c>
      <c r="G502" s="3">
        <v>3.3</v>
      </c>
      <c r="H502" s="3">
        <v>5.6</v>
      </c>
      <c r="I502" s="3">
        <v>0.93</v>
      </c>
      <c r="J502">
        <v>-7</v>
      </c>
      <c r="K502">
        <v>0</v>
      </c>
      <c r="L502">
        <v>0.43</v>
      </c>
      <c r="M502">
        <v>0.52500000000000002</v>
      </c>
      <c r="N502" s="3">
        <v>-3.3</v>
      </c>
    </row>
    <row r="503" spans="1:14" x14ac:dyDescent="0.2">
      <c r="A503" t="s">
        <v>301</v>
      </c>
      <c r="B503">
        <v>2011</v>
      </c>
      <c r="C503">
        <v>4</v>
      </c>
      <c r="D503">
        <v>3</v>
      </c>
      <c r="E503" s="3">
        <v>2.8</v>
      </c>
      <c r="F503" s="3">
        <v>1.1000000000000001</v>
      </c>
      <c r="G503" s="3">
        <v>1.7</v>
      </c>
      <c r="H503" s="3">
        <v>-1.9</v>
      </c>
      <c r="I503" s="3">
        <v>4.72</v>
      </c>
      <c r="J503">
        <v>8</v>
      </c>
      <c r="K503">
        <v>1</v>
      </c>
      <c r="L503">
        <v>0.55000000000000004</v>
      </c>
      <c r="M503">
        <v>0.53400000000000003</v>
      </c>
      <c r="N503" s="3">
        <v>-1.7</v>
      </c>
    </row>
    <row r="504" spans="1:14" x14ac:dyDescent="0.2">
      <c r="A504" t="s">
        <v>300</v>
      </c>
      <c r="B504">
        <v>2011</v>
      </c>
      <c r="C504">
        <v>4</v>
      </c>
      <c r="D504">
        <v>1</v>
      </c>
      <c r="E504" s="3">
        <v>-2.6</v>
      </c>
      <c r="F504" s="3">
        <v>-1.6</v>
      </c>
      <c r="G504" s="3">
        <v>-1</v>
      </c>
      <c r="H504" s="3">
        <v>-0.3</v>
      </c>
      <c r="I504" s="3">
        <v>-3.31</v>
      </c>
      <c r="J504">
        <v>1</v>
      </c>
      <c r="K504">
        <v>1</v>
      </c>
      <c r="L504">
        <v>0.42</v>
      </c>
      <c r="M504">
        <v>0.46200000000000002</v>
      </c>
      <c r="N504" s="3">
        <v>1</v>
      </c>
    </row>
    <row r="505" spans="1:14" x14ac:dyDescent="0.2">
      <c r="A505" t="s">
        <v>302</v>
      </c>
      <c r="B505">
        <v>2011</v>
      </c>
      <c r="C505">
        <v>2</v>
      </c>
      <c r="D505">
        <v>5</v>
      </c>
      <c r="E505" s="3">
        <v>6.52</v>
      </c>
      <c r="F505" s="3">
        <v>3</v>
      </c>
      <c r="G505" s="3">
        <v>3.6</v>
      </c>
      <c r="H505" s="3">
        <v>1</v>
      </c>
      <c r="I505" s="3">
        <v>-3.69</v>
      </c>
      <c r="J505">
        <v>12</v>
      </c>
      <c r="K505">
        <v>1</v>
      </c>
      <c r="L505">
        <v>0.7</v>
      </c>
      <c r="M505">
        <v>0.628</v>
      </c>
      <c r="N505" s="3">
        <v>-3.6</v>
      </c>
    </row>
    <row r="506" spans="1:14" x14ac:dyDescent="0.2">
      <c r="A506" t="s">
        <v>317</v>
      </c>
      <c r="B506">
        <v>2010</v>
      </c>
      <c r="C506">
        <v>64</v>
      </c>
      <c r="D506">
        <v>15</v>
      </c>
      <c r="E506" s="3">
        <v>33.966320000000003</v>
      </c>
      <c r="F506" s="3"/>
      <c r="G506" s="3"/>
      <c r="H506" s="3"/>
      <c r="I506" s="3">
        <v>13.03</v>
      </c>
      <c r="J506">
        <v>16</v>
      </c>
      <c r="K506">
        <v>1</v>
      </c>
      <c r="L506">
        <v>0</v>
      </c>
      <c r="M506">
        <v>0</v>
      </c>
      <c r="N506" s="3"/>
    </row>
    <row r="507" spans="1:14" x14ac:dyDescent="0.2">
      <c r="A507" t="s">
        <v>320</v>
      </c>
      <c r="B507">
        <v>2010</v>
      </c>
      <c r="C507">
        <v>64</v>
      </c>
      <c r="D507">
        <v>15</v>
      </c>
      <c r="E507" s="3">
        <v>39.463659999999997</v>
      </c>
      <c r="F507" s="3"/>
      <c r="G507" s="3"/>
      <c r="H507" s="3"/>
      <c r="I507" s="3">
        <v>-6.43</v>
      </c>
      <c r="J507">
        <v>29</v>
      </c>
      <c r="K507">
        <v>1</v>
      </c>
      <c r="L507">
        <v>0</v>
      </c>
      <c r="M507">
        <v>0</v>
      </c>
      <c r="N507" s="3"/>
    </row>
    <row r="508" spans="1:14" x14ac:dyDescent="0.2">
      <c r="A508" t="s">
        <v>318</v>
      </c>
      <c r="B508">
        <v>2010</v>
      </c>
      <c r="C508">
        <v>64</v>
      </c>
      <c r="D508">
        <v>15</v>
      </c>
      <c r="E508" s="3">
        <v>24.464459999999999</v>
      </c>
      <c r="F508" s="3"/>
      <c r="G508" s="3"/>
      <c r="H508" s="3"/>
      <c r="I508" s="3">
        <v>6.9</v>
      </c>
      <c r="J508">
        <v>23</v>
      </c>
      <c r="K508">
        <v>1</v>
      </c>
      <c r="L508">
        <v>0</v>
      </c>
      <c r="M508">
        <v>0</v>
      </c>
      <c r="N508" s="3"/>
    </row>
    <row r="509" spans="1:14" x14ac:dyDescent="0.2">
      <c r="A509" t="s">
        <v>319</v>
      </c>
      <c r="B509">
        <v>2010</v>
      </c>
      <c r="C509">
        <v>64</v>
      </c>
      <c r="D509">
        <v>15</v>
      </c>
      <c r="E509" s="3">
        <v>22.501989999999999</v>
      </c>
      <c r="F509" s="3"/>
      <c r="G509" s="3"/>
      <c r="H509" s="3"/>
      <c r="I509" s="3">
        <v>-4.63</v>
      </c>
      <c r="J509">
        <v>29</v>
      </c>
      <c r="K509">
        <v>1</v>
      </c>
      <c r="L509">
        <v>0</v>
      </c>
      <c r="M509">
        <v>0</v>
      </c>
      <c r="N509" s="3"/>
    </row>
    <row r="510" spans="1:14" x14ac:dyDescent="0.2">
      <c r="A510" t="s">
        <v>322</v>
      </c>
      <c r="B510">
        <v>2010</v>
      </c>
      <c r="C510">
        <v>64</v>
      </c>
      <c r="D510">
        <v>13</v>
      </c>
      <c r="E510" s="3">
        <v>25.295511000000001</v>
      </c>
      <c r="F510" s="3"/>
      <c r="G510" s="3"/>
      <c r="H510" s="3"/>
      <c r="I510" s="3">
        <v>8.9600000000000009</v>
      </c>
      <c r="J510">
        <v>20</v>
      </c>
      <c r="K510">
        <v>1</v>
      </c>
      <c r="L510">
        <v>0</v>
      </c>
      <c r="M510">
        <v>0</v>
      </c>
      <c r="N510" s="3"/>
    </row>
    <row r="511" spans="1:14" x14ac:dyDescent="0.2">
      <c r="A511" t="s">
        <v>323</v>
      </c>
      <c r="B511">
        <v>2010</v>
      </c>
      <c r="C511">
        <v>64</v>
      </c>
      <c r="D511">
        <v>13</v>
      </c>
      <c r="E511" s="3">
        <v>23.825379999999999</v>
      </c>
      <c r="F511" s="3"/>
      <c r="G511" s="3"/>
      <c r="H511" s="3"/>
      <c r="I511" s="3">
        <v>8.34</v>
      </c>
      <c r="J511">
        <v>27</v>
      </c>
      <c r="K511">
        <v>1</v>
      </c>
      <c r="L511">
        <v>0</v>
      </c>
      <c r="M511">
        <v>0</v>
      </c>
      <c r="N511" s="3"/>
    </row>
    <row r="512" spans="1:14" x14ac:dyDescent="0.2">
      <c r="A512" t="s">
        <v>324</v>
      </c>
      <c r="B512">
        <v>2010</v>
      </c>
      <c r="C512">
        <v>64</v>
      </c>
      <c r="D512">
        <v>13</v>
      </c>
      <c r="E512" s="3">
        <v>24.806039999999999</v>
      </c>
      <c r="F512" s="3"/>
      <c r="G512" s="3"/>
      <c r="H512" s="3"/>
      <c r="I512" s="3">
        <v>-1.59</v>
      </c>
      <c r="J512">
        <v>3</v>
      </c>
      <c r="K512">
        <v>1</v>
      </c>
      <c r="L512">
        <v>0</v>
      </c>
      <c r="M512">
        <v>0</v>
      </c>
      <c r="N512" s="3"/>
    </row>
    <row r="513" spans="1:14" x14ac:dyDescent="0.2">
      <c r="A513" t="s">
        <v>321</v>
      </c>
      <c r="B513">
        <v>2010</v>
      </c>
      <c r="C513">
        <v>64</v>
      </c>
      <c r="D513">
        <v>13</v>
      </c>
      <c r="E513" s="3">
        <v>23.093820000000001</v>
      </c>
      <c r="F513" s="3"/>
      <c r="G513" s="3"/>
      <c r="H513" s="3"/>
      <c r="I513" s="3">
        <v>-1.65</v>
      </c>
      <c r="J513">
        <v>17</v>
      </c>
      <c r="K513">
        <v>1</v>
      </c>
      <c r="L513">
        <v>0</v>
      </c>
      <c r="M513">
        <v>0</v>
      </c>
      <c r="N513" s="3"/>
    </row>
    <row r="514" spans="1:14" x14ac:dyDescent="0.2">
      <c r="A514" t="s">
        <v>325</v>
      </c>
      <c r="B514">
        <v>2010</v>
      </c>
      <c r="C514">
        <v>64</v>
      </c>
      <c r="D514">
        <v>11</v>
      </c>
      <c r="E514" s="3">
        <v>16.929010000000002</v>
      </c>
      <c r="F514" s="3"/>
      <c r="G514" s="3"/>
      <c r="H514" s="3"/>
      <c r="I514" s="3">
        <v>5.61</v>
      </c>
      <c r="J514">
        <v>-14</v>
      </c>
      <c r="K514">
        <v>0</v>
      </c>
      <c r="L514">
        <v>0</v>
      </c>
      <c r="M514">
        <v>0</v>
      </c>
      <c r="N514" s="3"/>
    </row>
    <row r="515" spans="1:14" x14ac:dyDescent="0.2">
      <c r="A515" t="s">
        <v>328</v>
      </c>
      <c r="B515">
        <v>2010</v>
      </c>
      <c r="C515">
        <v>64</v>
      </c>
      <c r="D515">
        <v>11</v>
      </c>
      <c r="E515" s="3">
        <v>16.331969999999998</v>
      </c>
      <c r="F515" s="3"/>
      <c r="G515" s="3"/>
      <c r="H515" s="3"/>
      <c r="I515" s="3">
        <v>-3.11</v>
      </c>
      <c r="J515">
        <v>9</v>
      </c>
      <c r="K515">
        <v>1</v>
      </c>
      <c r="L515">
        <v>0</v>
      </c>
      <c r="M515">
        <v>0</v>
      </c>
      <c r="N515" s="3"/>
    </row>
    <row r="516" spans="1:14" x14ac:dyDescent="0.2">
      <c r="A516" t="s">
        <v>326</v>
      </c>
      <c r="B516">
        <v>2010</v>
      </c>
      <c r="C516">
        <v>64</v>
      </c>
      <c r="D516">
        <v>11</v>
      </c>
      <c r="E516" s="3">
        <v>15.05706</v>
      </c>
      <c r="F516" s="3"/>
      <c r="G516" s="3"/>
      <c r="H516" s="3"/>
      <c r="I516" s="3">
        <v>-6.11</v>
      </c>
      <c r="J516">
        <v>23</v>
      </c>
      <c r="K516">
        <v>1</v>
      </c>
      <c r="L516">
        <v>0</v>
      </c>
      <c r="M516">
        <v>0</v>
      </c>
      <c r="N516" s="3"/>
    </row>
    <row r="517" spans="1:14" x14ac:dyDescent="0.2">
      <c r="A517" t="s">
        <v>327</v>
      </c>
      <c r="B517">
        <v>2010</v>
      </c>
      <c r="C517">
        <v>64</v>
      </c>
      <c r="D517">
        <v>11</v>
      </c>
      <c r="E517" s="3">
        <v>8.8773700000000009</v>
      </c>
      <c r="F517" s="3"/>
      <c r="G517" s="3"/>
      <c r="H517" s="3"/>
      <c r="I517" s="3">
        <v>4.58</v>
      </c>
      <c r="J517">
        <v>5</v>
      </c>
      <c r="K517">
        <v>1</v>
      </c>
      <c r="L517">
        <v>0</v>
      </c>
      <c r="M517">
        <v>0</v>
      </c>
      <c r="N517" s="3"/>
    </row>
    <row r="518" spans="1:14" x14ac:dyDescent="0.2">
      <c r="A518" t="s">
        <v>331</v>
      </c>
      <c r="B518">
        <v>2010</v>
      </c>
      <c r="C518">
        <v>64</v>
      </c>
      <c r="D518">
        <v>9</v>
      </c>
      <c r="E518" s="3">
        <v>16.138870000000001</v>
      </c>
      <c r="F518" s="3"/>
      <c r="G518" s="3"/>
      <c r="H518" s="3"/>
      <c r="I518" s="3">
        <v>2.4700000000000002</v>
      </c>
      <c r="J518">
        <v>4</v>
      </c>
      <c r="K518">
        <v>1</v>
      </c>
      <c r="L518">
        <v>0</v>
      </c>
      <c r="M518">
        <v>0</v>
      </c>
      <c r="N518" s="3"/>
    </row>
    <row r="519" spans="1:14" x14ac:dyDescent="0.2">
      <c r="A519" t="s">
        <v>329</v>
      </c>
      <c r="B519">
        <v>2010</v>
      </c>
      <c r="C519">
        <v>64</v>
      </c>
      <c r="D519">
        <v>9</v>
      </c>
      <c r="E519" s="3">
        <v>13.40014</v>
      </c>
      <c r="F519" s="3"/>
      <c r="G519" s="3"/>
      <c r="H519" s="3"/>
      <c r="I519" s="3">
        <v>-3.58</v>
      </c>
      <c r="J519">
        <v>12</v>
      </c>
      <c r="K519">
        <v>1</v>
      </c>
      <c r="L519">
        <v>0</v>
      </c>
      <c r="M519">
        <v>0</v>
      </c>
      <c r="N519" s="3"/>
    </row>
    <row r="520" spans="1:14" x14ac:dyDescent="0.2">
      <c r="A520" t="s">
        <v>330</v>
      </c>
      <c r="B520">
        <v>2010</v>
      </c>
      <c r="C520">
        <v>64</v>
      </c>
      <c r="D520">
        <v>9</v>
      </c>
      <c r="E520" s="3">
        <v>2.9397000000000002</v>
      </c>
      <c r="F520" s="3"/>
      <c r="G520" s="3"/>
      <c r="H520" s="3"/>
      <c r="I520" s="3">
        <v>10.76</v>
      </c>
      <c r="J520">
        <v>-1</v>
      </c>
      <c r="K520">
        <v>0</v>
      </c>
      <c r="L520">
        <v>0</v>
      </c>
      <c r="M520">
        <v>0</v>
      </c>
      <c r="N520" s="3"/>
    </row>
    <row r="521" spans="1:14" x14ac:dyDescent="0.2">
      <c r="A521" t="s">
        <v>332</v>
      </c>
      <c r="B521">
        <v>2010</v>
      </c>
      <c r="C521">
        <v>64</v>
      </c>
      <c r="D521">
        <v>9</v>
      </c>
      <c r="E521" s="3">
        <v>8.6803000000000008</v>
      </c>
      <c r="F521" s="3"/>
      <c r="G521" s="3"/>
      <c r="H521" s="3"/>
      <c r="I521" s="3">
        <v>-2.2799999999999998</v>
      </c>
      <c r="J521">
        <v>8</v>
      </c>
      <c r="K521">
        <v>1</v>
      </c>
      <c r="L521">
        <v>0</v>
      </c>
      <c r="M521">
        <v>0</v>
      </c>
      <c r="N521" s="3"/>
    </row>
    <row r="522" spans="1:14" x14ac:dyDescent="0.2">
      <c r="A522" t="s">
        <v>333</v>
      </c>
      <c r="B522">
        <v>2010</v>
      </c>
      <c r="C522">
        <v>64</v>
      </c>
      <c r="D522">
        <v>7</v>
      </c>
      <c r="E522" s="3">
        <v>14.17578</v>
      </c>
      <c r="F522" s="3"/>
      <c r="G522" s="3"/>
      <c r="H522" s="3"/>
      <c r="I522" s="3">
        <v>0.74</v>
      </c>
      <c r="J522">
        <v>3</v>
      </c>
      <c r="K522">
        <v>1</v>
      </c>
      <c r="L522">
        <v>0</v>
      </c>
      <c r="M522">
        <v>0</v>
      </c>
      <c r="N522" s="3"/>
    </row>
    <row r="523" spans="1:14" x14ac:dyDescent="0.2">
      <c r="A523" t="s">
        <v>335</v>
      </c>
      <c r="B523">
        <v>2010</v>
      </c>
      <c r="C523">
        <v>64</v>
      </c>
      <c r="D523">
        <v>7</v>
      </c>
      <c r="E523" s="3">
        <v>7.4745999999999997</v>
      </c>
      <c r="F523" s="3"/>
      <c r="G523" s="3"/>
      <c r="H523" s="3"/>
      <c r="I523" s="3">
        <v>4.4400000000000004</v>
      </c>
      <c r="J523">
        <v>-13</v>
      </c>
      <c r="K523">
        <v>0</v>
      </c>
      <c r="L523">
        <v>0</v>
      </c>
      <c r="M523">
        <v>0</v>
      </c>
      <c r="N523" s="3"/>
    </row>
    <row r="524" spans="1:14" x14ac:dyDescent="0.2">
      <c r="A524" t="s">
        <v>334</v>
      </c>
      <c r="B524">
        <v>2010</v>
      </c>
      <c r="C524">
        <v>64</v>
      </c>
      <c r="D524">
        <v>7</v>
      </c>
      <c r="E524" s="3">
        <v>2.4502000000000002</v>
      </c>
      <c r="F524" s="3"/>
      <c r="G524" s="3"/>
      <c r="H524" s="3"/>
      <c r="I524" s="3">
        <v>12.22</v>
      </c>
      <c r="J524">
        <v>18</v>
      </c>
      <c r="K524">
        <v>1</v>
      </c>
      <c r="L524">
        <v>0</v>
      </c>
      <c r="M524">
        <v>0</v>
      </c>
      <c r="N524" s="3"/>
    </row>
    <row r="525" spans="1:14" x14ac:dyDescent="0.2">
      <c r="A525" t="s">
        <v>336</v>
      </c>
      <c r="B525">
        <v>2010</v>
      </c>
      <c r="C525">
        <v>64</v>
      </c>
      <c r="D525">
        <v>7</v>
      </c>
      <c r="E525" s="3">
        <v>-1.1406000000000001</v>
      </c>
      <c r="F525" s="3"/>
      <c r="G525" s="3"/>
      <c r="H525" s="3"/>
      <c r="I525" s="3">
        <v>1.25</v>
      </c>
      <c r="J525">
        <v>16</v>
      </c>
      <c r="K525">
        <v>1</v>
      </c>
      <c r="L525">
        <v>0</v>
      </c>
      <c r="M525">
        <v>0</v>
      </c>
      <c r="N525" s="3"/>
    </row>
    <row r="526" spans="1:14" x14ac:dyDescent="0.2">
      <c r="A526" t="s">
        <v>338</v>
      </c>
      <c r="B526">
        <v>2010</v>
      </c>
      <c r="C526">
        <v>64</v>
      </c>
      <c r="D526">
        <v>5</v>
      </c>
      <c r="E526" s="3">
        <v>1.0774999999999999</v>
      </c>
      <c r="F526" s="3"/>
      <c r="G526" s="3"/>
      <c r="H526" s="3"/>
      <c r="I526" s="3">
        <v>8.1</v>
      </c>
      <c r="J526">
        <v>11</v>
      </c>
      <c r="K526">
        <v>1</v>
      </c>
      <c r="L526">
        <v>0</v>
      </c>
      <c r="M526">
        <v>0</v>
      </c>
      <c r="N526" s="3"/>
    </row>
    <row r="527" spans="1:14" x14ac:dyDescent="0.2">
      <c r="A527" t="s">
        <v>337</v>
      </c>
      <c r="B527">
        <v>2010</v>
      </c>
      <c r="C527">
        <v>64</v>
      </c>
      <c r="D527">
        <v>5</v>
      </c>
      <c r="E527" s="3">
        <v>7.5300000000000006E-2</v>
      </c>
      <c r="F527" s="3"/>
      <c r="G527" s="3"/>
      <c r="H527" s="3"/>
      <c r="I527" s="3">
        <v>0.73</v>
      </c>
      <c r="J527">
        <v>3</v>
      </c>
      <c r="K527">
        <v>1</v>
      </c>
      <c r="L527">
        <v>0</v>
      </c>
      <c r="M527">
        <v>0</v>
      </c>
      <c r="N527" s="3"/>
    </row>
    <row r="528" spans="1:14" x14ac:dyDescent="0.2">
      <c r="A528" t="s">
        <v>339</v>
      </c>
      <c r="B528">
        <v>2010</v>
      </c>
      <c r="C528">
        <v>64</v>
      </c>
      <c r="D528">
        <v>5</v>
      </c>
      <c r="E528" s="3">
        <v>2.5840000000000001</v>
      </c>
      <c r="F528" s="3"/>
      <c r="G528" s="3"/>
      <c r="H528" s="3"/>
      <c r="I528" s="3">
        <v>-7.28</v>
      </c>
      <c r="J528">
        <v>-2</v>
      </c>
      <c r="K528">
        <v>0</v>
      </c>
      <c r="L528">
        <v>0</v>
      </c>
      <c r="M528">
        <v>0</v>
      </c>
      <c r="N528" s="3"/>
    </row>
    <row r="529" spans="1:14" x14ac:dyDescent="0.2">
      <c r="A529" t="s">
        <v>340</v>
      </c>
      <c r="B529">
        <v>2010</v>
      </c>
      <c r="C529">
        <v>64</v>
      </c>
      <c r="D529">
        <v>5</v>
      </c>
      <c r="E529" s="3">
        <v>0.72699999999999998</v>
      </c>
      <c r="F529" s="3"/>
      <c r="G529" s="3"/>
      <c r="H529" s="3"/>
      <c r="I529" s="3">
        <v>-10.3</v>
      </c>
      <c r="J529">
        <v>-1</v>
      </c>
      <c r="K529">
        <v>0</v>
      </c>
      <c r="L529">
        <v>0</v>
      </c>
      <c r="M529">
        <v>0</v>
      </c>
      <c r="N529" s="3"/>
    </row>
    <row r="530" spans="1:14" x14ac:dyDescent="0.2">
      <c r="A530" t="s">
        <v>342</v>
      </c>
      <c r="B530">
        <v>2010</v>
      </c>
      <c r="C530">
        <v>64</v>
      </c>
      <c r="D530">
        <v>3</v>
      </c>
      <c r="E530" s="3">
        <v>9.4902999999999995</v>
      </c>
      <c r="F530" s="3"/>
      <c r="G530" s="3"/>
      <c r="H530" s="3"/>
      <c r="I530" s="3">
        <v>0.24</v>
      </c>
      <c r="J530">
        <v>7</v>
      </c>
      <c r="K530">
        <v>1</v>
      </c>
      <c r="L530">
        <v>0</v>
      </c>
      <c r="M530">
        <v>0</v>
      </c>
      <c r="N530" s="3"/>
    </row>
    <row r="531" spans="1:14" x14ac:dyDescent="0.2">
      <c r="A531" t="s">
        <v>343</v>
      </c>
      <c r="B531">
        <v>2010</v>
      </c>
      <c r="C531">
        <v>64</v>
      </c>
      <c r="D531">
        <v>3</v>
      </c>
      <c r="E531" s="3">
        <v>-4.5699999999999998E-2</v>
      </c>
      <c r="F531" s="3"/>
      <c r="G531" s="3"/>
      <c r="H531" s="3"/>
      <c r="I531" s="3">
        <v>1.6</v>
      </c>
      <c r="J531">
        <v>-8</v>
      </c>
      <c r="K531">
        <v>0</v>
      </c>
      <c r="L531">
        <v>0</v>
      </c>
      <c r="M531">
        <v>0</v>
      </c>
      <c r="N531" s="3"/>
    </row>
    <row r="532" spans="1:14" x14ac:dyDescent="0.2">
      <c r="A532" t="s">
        <v>341</v>
      </c>
      <c r="B532">
        <v>2010</v>
      </c>
      <c r="C532">
        <v>64</v>
      </c>
      <c r="D532">
        <v>3</v>
      </c>
      <c r="E532" s="3">
        <v>-1.5024</v>
      </c>
      <c r="F532" s="3"/>
      <c r="G532" s="3"/>
      <c r="H532" s="3"/>
      <c r="I532" s="3">
        <v>-0.71</v>
      </c>
      <c r="J532">
        <v>-5</v>
      </c>
      <c r="K532">
        <v>0</v>
      </c>
      <c r="L532">
        <v>0</v>
      </c>
      <c r="M532">
        <v>0</v>
      </c>
      <c r="N532" s="3"/>
    </row>
    <row r="533" spans="1:14" x14ac:dyDescent="0.2">
      <c r="A533" t="s">
        <v>348</v>
      </c>
      <c r="B533">
        <v>2010</v>
      </c>
      <c r="C533">
        <v>64</v>
      </c>
      <c r="D533">
        <v>3</v>
      </c>
      <c r="E533" s="3">
        <v>-4.1783999999999999</v>
      </c>
      <c r="F533" s="3"/>
      <c r="G533" s="3"/>
      <c r="H533" s="3"/>
      <c r="I533" s="3">
        <v>-0.09</v>
      </c>
      <c r="J533">
        <v>-9</v>
      </c>
      <c r="K533">
        <v>0</v>
      </c>
      <c r="L533">
        <v>0</v>
      </c>
      <c r="M533">
        <v>0</v>
      </c>
      <c r="N533" s="3"/>
    </row>
    <row r="534" spans="1:14" x14ac:dyDescent="0.2">
      <c r="A534" t="s">
        <v>347</v>
      </c>
      <c r="B534">
        <v>2010</v>
      </c>
      <c r="C534">
        <v>64</v>
      </c>
      <c r="D534">
        <v>1</v>
      </c>
      <c r="E534" s="3">
        <v>4.3982000000000001</v>
      </c>
      <c r="F534" s="3"/>
      <c r="G534" s="3"/>
      <c r="H534" s="3"/>
      <c r="I534" s="3">
        <v>7.59</v>
      </c>
      <c r="J534">
        <v>15</v>
      </c>
      <c r="K534">
        <v>1</v>
      </c>
      <c r="L534">
        <v>0</v>
      </c>
      <c r="M534">
        <v>0</v>
      </c>
      <c r="N534" s="3"/>
    </row>
    <row r="535" spans="1:14" x14ac:dyDescent="0.2">
      <c r="A535" t="s">
        <v>346</v>
      </c>
      <c r="B535">
        <v>2010</v>
      </c>
      <c r="C535">
        <v>64</v>
      </c>
      <c r="D535">
        <v>1</v>
      </c>
      <c r="E535" s="3">
        <v>5.7369000000000003</v>
      </c>
      <c r="F535" s="3"/>
      <c r="G535" s="3"/>
      <c r="H535" s="3"/>
      <c r="I535" s="3">
        <v>0.3</v>
      </c>
      <c r="J535">
        <v>-1</v>
      </c>
      <c r="K535">
        <v>0</v>
      </c>
      <c r="L535">
        <v>0</v>
      </c>
      <c r="M535">
        <v>0</v>
      </c>
      <c r="N535" s="3"/>
    </row>
    <row r="536" spans="1:14" x14ac:dyDescent="0.2">
      <c r="A536" t="s">
        <v>345</v>
      </c>
      <c r="B536">
        <v>2010</v>
      </c>
      <c r="C536">
        <v>64</v>
      </c>
      <c r="D536">
        <v>1</v>
      </c>
      <c r="E536" s="3">
        <v>-1.8116000000000001</v>
      </c>
      <c r="F536" s="3"/>
      <c r="G536" s="3"/>
      <c r="H536" s="3"/>
      <c r="I536" s="3">
        <v>6.58</v>
      </c>
      <c r="J536">
        <v>7</v>
      </c>
      <c r="K536">
        <v>1</v>
      </c>
      <c r="L536">
        <v>0</v>
      </c>
      <c r="M536">
        <v>0</v>
      </c>
      <c r="N536" s="3"/>
    </row>
    <row r="537" spans="1:14" x14ac:dyDescent="0.2">
      <c r="A537" t="s">
        <v>344</v>
      </c>
      <c r="B537">
        <v>2010</v>
      </c>
      <c r="C537">
        <v>64</v>
      </c>
      <c r="D537">
        <v>1</v>
      </c>
      <c r="E537" s="3">
        <v>-1.0217000000000001</v>
      </c>
      <c r="F537" s="3"/>
      <c r="G537" s="3"/>
      <c r="H537" s="3"/>
      <c r="I537" s="3">
        <v>2.0099999999999998</v>
      </c>
      <c r="J537">
        <v>-3</v>
      </c>
      <c r="K537">
        <v>0</v>
      </c>
      <c r="L537">
        <v>0</v>
      </c>
      <c r="M537">
        <v>0</v>
      </c>
      <c r="N537" s="3"/>
    </row>
    <row r="538" spans="1:14" x14ac:dyDescent="0.2">
      <c r="A538" t="s">
        <v>349</v>
      </c>
      <c r="B538">
        <v>2010</v>
      </c>
      <c r="C538">
        <v>32</v>
      </c>
      <c r="D538">
        <v>8</v>
      </c>
      <c r="E538" s="3">
        <v>14.26</v>
      </c>
      <c r="F538" s="3"/>
      <c r="G538" s="3"/>
      <c r="H538" s="3"/>
      <c r="I538" s="3">
        <v>4.1399999999999997</v>
      </c>
      <c r="J538">
        <v>-2</v>
      </c>
      <c r="K538">
        <v>0</v>
      </c>
      <c r="L538">
        <v>0</v>
      </c>
      <c r="M538">
        <v>0</v>
      </c>
      <c r="N538" s="3"/>
    </row>
    <row r="539" spans="1:14" x14ac:dyDescent="0.2">
      <c r="A539" t="s">
        <v>361</v>
      </c>
      <c r="B539">
        <v>2010</v>
      </c>
      <c r="C539">
        <v>32</v>
      </c>
      <c r="D539">
        <v>8</v>
      </c>
      <c r="E539" s="3">
        <v>10.42</v>
      </c>
      <c r="F539" s="3"/>
      <c r="G539" s="3"/>
      <c r="H539" s="3"/>
      <c r="I539" s="3">
        <v>2.63</v>
      </c>
      <c r="J539">
        <v>-18</v>
      </c>
      <c r="K539">
        <v>0</v>
      </c>
      <c r="L539">
        <v>0</v>
      </c>
      <c r="M539">
        <v>0</v>
      </c>
      <c r="N539" s="3"/>
    </row>
    <row r="540" spans="1:14" x14ac:dyDescent="0.2">
      <c r="A540" t="s">
        <v>364</v>
      </c>
      <c r="B540">
        <v>2010</v>
      </c>
      <c r="C540">
        <v>32</v>
      </c>
      <c r="D540">
        <v>8</v>
      </c>
      <c r="E540" s="3">
        <v>8.9600000000000009</v>
      </c>
      <c r="F540" s="3"/>
      <c r="G540" s="3"/>
      <c r="H540" s="3"/>
      <c r="I540" s="3">
        <v>1.65</v>
      </c>
      <c r="J540">
        <v>15</v>
      </c>
      <c r="K540">
        <v>1</v>
      </c>
      <c r="L540">
        <v>0</v>
      </c>
      <c r="M540">
        <v>0</v>
      </c>
      <c r="N540" s="3"/>
    </row>
    <row r="541" spans="1:14" x14ac:dyDescent="0.2">
      <c r="A541" t="s">
        <v>351</v>
      </c>
      <c r="B541">
        <v>2010</v>
      </c>
      <c r="C541">
        <v>32</v>
      </c>
      <c r="D541">
        <v>8</v>
      </c>
      <c r="E541" s="3">
        <v>10.039999999999999</v>
      </c>
      <c r="F541" s="3"/>
      <c r="G541" s="3"/>
      <c r="H541" s="3"/>
      <c r="I541" s="3">
        <v>1.54</v>
      </c>
      <c r="J541">
        <v>30</v>
      </c>
      <c r="K541">
        <v>1</v>
      </c>
      <c r="L541">
        <v>0</v>
      </c>
      <c r="M541">
        <v>0</v>
      </c>
      <c r="N541" s="3"/>
    </row>
    <row r="542" spans="1:14" x14ac:dyDescent="0.2">
      <c r="A542" t="s">
        <v>353</v>
      </c>
      <c r="B542">
        <v>2010</v>
      </c>
      <c r="C542">
        <v>32</v>
      </c>
      <c r="D542">
        <v>8</v>
      </c>
      <c r="E542" s="3">
        <v>7.05</v>
      </c>
      <c r="F542" s="3"/>
      <c r="G542" s="3"/>
      <c r="H542" s="3"/>
      <c r="I542" s="3">
        <v>2.2200000000000002</v>
      </c>
      <c r="J542">
        <v>9</v>
      </c>
      <c r="K542">
        <v>1</v>
      </c>
      <c r="L542">
        <v>0</v>
      </c>
      <c r="M542">
        <v>0</v>
      </c>
      <c r="N542" s="3"/>
    </row>
    <row r="543" spans="1:14" x14ac:dyDescent="0.2">
      <c r="A543" t="s">
        <v>355</v>
      </c>
      <c r="B543">
        <v>2010</v>
      </c>
      <c r="C543">
        <v>32</v>
      </c>
      <c r="D543">
        <v>8</v>
      </c>
      <c r="E543" s="3">
        <v>5.29</v>
      </c>
      <c r="F543" s="3"/>
      <c r="G543" s="3"/>
      <c r="H543" s="3"/>
      <c r="I543" s="3">
        <v>9.15</v>
      </c>
      <c r="J543">
        <v>9</v>
      </c>
      <c r="K543">
        <v>1</v>
      </c>
      <c r="L543">
        <v>0</v>
      </c>
      <c r="M543">
        <v>0</v>
      </c>
      <c r="N543" s="3"/>
    </row>
    <row r="544" spans="1:14" x14ac:dyDescent="0.2">
      <c r="A544" t="s">
        <v>359</v>
      </c>
      <c r="B544">
        <v>2010</v>
      </c>
      <c r="C544">
        <v>32</v>
      </c>
      <c r="D544">
        <v>8</v>
      </c>
      <c r="E544" s="3">
        <v>5.99</v>
      </c>
      <c r="F544" s="3"/>
      <c r="G544" s="3"/>
      <c r="H544" s="3"/>
      <c r="I544" s="3">
        <v>-7.4</v>
      </c>
      <c r="J544">
        <v>8</v>
      </c>
      <c r="K544">
        <v>1</v>
      </c>
      <c r="L544">
        <v>0</v>
      </c>
      <c r="M544">
        <v>0</v>
      </c>
      <c r="N544" s="3"/>
    </row>
    <row r="545" spans="1:14" x14ac:dyDescent="0.2">
      <c r="A545" t="s">
        <v>363</v>
      </c>
      <c r="B545">
        <v>2010</v>
      </c>
      <c r="C545">
        <v>32</v>
      </c>
      <c r="D545">
        <v>8</v>
      </c>
      <c r="E545" s="3">
        <v>6.18</v>
      </c>
      <c r="F545" s="3"/>
      <c r="G545" s="3"/>
      <c r="H545" s="3"/>
      <c r="I545" s="3">
        <v>16.920000000000002</v>
      </c>
      <c r="J545">
        <v>2</v>
      </c>
      <c r="K545">
        <v>1</v>
      </c>
      <c r="L545">
        <v>0</v>
      </c>
      <c r="M545">
        <v>0</v>
      </c>
      <c r="N545" s="3"/>
    </row>
    <row r="546" spans="1:14" x14ac:dyDescent="0.2">
      <c r="A546" t="s">
        <v>356</v>
      </c>
      <c r="B546">
        <v>2010</v>
      </c>
      <c r="C546">
        <v>32</v>
      </c>
      <c r="D546">
        <v>8</v>
      </c>
      <c r="E546" s="3">
        <v>2.08</v>
      </c>
      <c r="F546" s="3"/>
      <c r="G546" s="3"/>
      <c r="H546" s="3"/>
      <c r="I546" s="3">
        <v>-1.5</v>
      </c>
      <c r="J546">
        <v>-7</v>
      </c>
      <c r="K546">
        <v>0</v>
      </c>
      <c r="L546">
        <v>0</v>
      </c>
      <c r="M546">
        <v>0</v>
      </c>
      <c r="N546" s="3"/>
    </row>
    <row r="547" spans="1:14" x14ac:dyDescent="0.2">
      <c r="A547" t="s">
        <v>358</v>
      </c>
      <c r="B547">
        <v>2010</v>
      </c>
      <c r="C547">
        <v>32</v>
      </c>
      <c r="D547">
        <v>8</v>
      </c>
      <c r="E547" s="3">
        <v>-0.57999999999999996</v>
      </c>
      <c r="F547" s="3"/>
      <c r="G547" s="3"/>
      <c r="H547" s="3"/>
      <c r="I547" s="3">
        <v>-1.43</v>
      </c>
      <c r="J547">
        <v>-18</v>
      </c>
      <c r="K547">
        <v>0</v>
      </c>
      <c r="L547">
        <v>0</v>
      </c>
      <c r="M547">
        <v>0</v>
      </c>
      <c r="N547" s="3"/>
    </row>
    <row r="548" spans="1:14" x14ac:dyDescent="0.2">
      <c r="A548" t="s">
        <v>350</v>
      </c>
      <c r="B548">
        <v>2010</v>
      </c>
      <c r="C548">
        <v>32</v>
      </c>
      <c r="D548">
        <v>7</v>
      </c>
      <c r="E548" s="3">
        <v>10.3</v>
      </c>
      <c r="F548" s="3"/>
      <c r="G548" s="3"/>
      <c r="H548" s="3"/>
      <c r="I548" s="3">
        <v>-4.6399999999999997</v>
      </c>
      <c r="J548">
        <v>22</v>
      </c>
      <c r="K548">
        <v>1</v>
      </c>
      <c r="L548">
        <v>0</v>
      </c>
      <c r="M548">
        <v>0</v>
      </c>
      <c r="N548" s="3"/>
    </row>
    <row r="549" spans="1:14" x14ac:dyDescent="0.2">
      <c r="A549" t="s">
        <v>352</v>
      </c>
      <c r="B549">
        <v>2010</v>
      </c>
      <c r="C549">
        <v>32</v>
      </c>
      <c r="D549">
        <v>7</v>
      </c>
      <c r="E549" s="3">
        <v>8.93</v>
      </c>
      <c r="F549" s="3"/>
      <c r="G549" s="3"/>
      <c r="H549" s="3"/>
      <c r="I549" s="3">
        <v>-4.7300000000000004</v>
      </c>
      <c r="J549">
        <v>15</v>
      </c>
      <c r="K549">
        <v>1</v>
      </c>
      <c r="L549">
        <v>0</v>
      </c>
      <c r="M549">
        <v>0</v>
      </c>
      <c r="N549" s="3"/>
    </row>
    <row r="550" spans="1:14" x14ac:dyDescent="0.2">
      <c r="A550" t="s">
        <v>354</v>
      </c>
      <c r="B550">
        <v>2010</v>
      </c>
      <c r="C550">
        <v>32</v>
      </c>
      <c r="D550">
        <v>5</v>
      </c>
      <c r="E550" s="3">
        <v>1.22</v>
      </c>
      <c r="F550" s="3"/>
      <c r="G550" s="3"/>
      <c r="H550" s="3"/>
      <c r="I550" s="3">
        <v>4.09</v>
      </c>
      <c r="J550">
        <v>12</v>
      </c>
      <c r="K550">
        <v>1</v>
      </c>
      <c r="L550">
        <v>0</v>
      </c>
      <c r="M550">
        <v>0</v>
      </c>
      <c r="N550" s="3"/>
    </row>
    <row r="551" spans="1:14" x14ac:dyDescent="0.2">
      <c r="A551" t="s">
        <v>357</v>
      </c>
      <c r="B551">
        <v>2010</v>
      </c>
      <c r="C551">
        <v>32</v>
      </c>
      <c r="D551">
        <v>3</v>
      </c>
      <c r="E551" s="3">
        <v>-1.6</v>
      </c>
      <c r="F551" s="3"/>
      <c r="G551" s="3"/>
      <c r="H551" s="3"/>
      <c r="I551" s="3">
        <v>-6.78</v>
      </c>
      <c r="J551">
        <v>-3</v>
      </c>
      <c r="K551">
        <v>0</v>
      </c>
      <c r="L551">
        <v>0</v>
      </c>
      <c r="M551">
        <v>0</v>
      </c>
      <c r="N551" s="3"/>
    </row>
    <row r="552" spans="1:14" x14ac:dyDescent="0.2">
      <c r="A552" t="s">
        <v>362</v>
      </c>
      <c r="B552">
        <v>2010</v>
      </c>
      <c r="C552">
        <v>32</v>
      </c>
      <c r="D552">
        <v>1</v>
      </c>
      <c r="E552" s="3">
        <v>1.07</v>
      </c>
      <c r="F552" s="3"/>
      <c r="G552" s="3"/>
      <c r="H552" s="3"/>
      <c r="I552" s="3">
        <v>-1.24</v>
      </c>
      <c r="J552">
        <v>2</v>
      </c>
      <c r="K552">
        <v>1</v>
      </c>
      <c r="L552">
        <v>0</v>
      </c>
      <c r="M552">
        <v>0</v>
      </c>
      <c r="N552" s="3"/>
    </row>
    <row r="553" spans="1:14" x14ac:dyDescent="0.2">
      <c r="A553" t="s">
        <v>360</v>
      </c>
      <c r="B553">
        <v>2010</v>
      </c>
      <c r="C553">
        <v>32</v>
      </c>
      <c r="D553">
        <v>1</v>
      </c>
      <c r="E553" s="3">
        <v>2.94</v>
      </c>
      <c r="F553" s="3"/>
      <c r="G553" s="3"/>
      <c r="H553" s="3"/>
      <c r="I553" s="3">
        <v>-3.16</v>
      </c>
      <c r="J553">
        <v>-2</v>
      </c>
      <c r="K553">
        <v>0</v>
      </c>
      <c r="L553">
        <v>0</v>
      </c>
      <c r="M553">
        <v>0</v>
      </c>
      <c r="N553" s="3"/>
    </row>
    <row r="554" spans="1:14" x14ac:dyDescent="0.2">
      <c r="A554" t="s">
        <v>366</v>
      </c>
      <c r="B554">
        <v>2010</v>
      </c>
      <c r="C554">
        <v>16</v>
      </c>
      <c r="D554">
        <v>11</v>
      </c>
      <c r="E554" s="3">
        <v>9.65</v>
      </c>
      <c r="F554" s="3"/>
      <c r="G554" s="3"/>
      <c r="H554" s="3"/>
      <c r="I554" s="3">
        <v>0.54</v>
      </c>
      <c r="J554">
        <v>17</v>
      </c>
      <c r="K554">
        <v>1</v>
      </c>
      <c r="L554">
        <v>0</v>
      </c>
      <c r="M554">
        <v>0</v>
      </c>
      <c r="N554" s="3"/>
    </row>
    <row r="555" spans="1:14" x14ac:dyDescent="0.2">
      <c r="A555" t="s">
        <v>370</v>
      </c>
      <c r="B555">
        <v>2010</v>
      </c>
      <c r="C555">
        <v>16</v>
      </c>
      <c r="D555">
        <v>9</v>
      </c>
      <c r="E555" s="3">
        <v>7.3</v>
      </c>
      <c r="F555" s="3"/>
      <c r="G555" s="3"/>
      <c r="H555" s="3"/>
      <c r="I555" s="3">
        <v>1.43</v>
      </c>
      <c r="J555">
        <v>13</v>
      </c>
      <c r="K555">
        <v>1</v>
      </c>
      <c r="L555">
        <v>0</v>
      </c>
      <c r="M555">
        <v>0</v>
      </c>
      <c r="N555" s="3"/>
    </row>
    <row r="556" spans="1:14" x14ac:dyDescent="0.2">
      <c r="A556" t="s">
        <v>371</v>
      </c>
      <c r="B556">
        <v>2010</v>
      </c>
      <c r="C556">
        <v>16</v>
      </c>
      <c r="D556">
        <v>7</v>
      </c>
      <c r="E556" s="3">
        <v>3.82</v>
      </c>
      <c r="F556" s="3"/>
      <c r="G556" s="3"/>
      <c r="H556" s="3"/>
      <c r="I556" s="3">
        <v>-3.26</v>
      </c>
      <c r="J556">
        <v>23</v>
      </c>
      <c r="K556">
        <v>1</v>
      </c>
      <c r="L556">
        <v>0</v>
      </c>
      <c r="M556">
        <v>0</v>
      </c>
      <c r="N556" s="3"/>
    </row>
    <row r="557" spans="1:14" x14ac:dyDescent="0.2">
      <c r="A557" t="s">
        <v>368</v>
      </c>
      <c r="B557">
        <v>2010</v>
      </c>
      <c r="C557">
        <v>16</v>
      </c>
      <c r="D557">
        <v>4</v>
      </c>
      <c r="E557" s="3">
        <v>7.32</v>
      </c>
      <c r="F557" s="3"/>
      <c r="G557" s="3"/>
      <c r="H557" s="3"/>
      <c r="I557" s="3">
        <v>-0.6</v>
      </c>
      <c r="J557">
        <v>-3</v>
      </c>
      <c r="K557">
        <v>0</v>
      </c>
      <c r="L557">
        <v>0</v>
      </c>
      <c r="M557">
        <v>0</v>
      </c>
      <c r="N557" s="3"/>
    </row>
    <row r="558" spans="1:14" x14ac:dyDescent="0.2">
      <c r="A558" t="s">
        <v>365</v>
      </c>
      <c r="B558">
        <v>2010</v>
      </c>
      <c r="C558">
        <v>16</v>
      </c>
      <c r="D558">
        <v>4</v>
      </c>
      <c r="E558" s="3">
        <v>7.21</v>
      </c>
      <c r="F558" s="3"/>
      <c r="G558" s="3"/>
      <c r="H558" s="3"/>
      <c r="I558" s="3">
        <v>-9.17</v>
      </c>
      <c r="J558">
        <v>-4</v>
      </c>
      <c r="K558">
        <v>0</v>
      </c>
      <c r="L558">
        <v>0</v>
      </c>
      <c r="M558">
        <v>0</v>
      </c>
      <c r="N558" s="3"/>
    </row>
    <row r="559" spans="1:14" x14ac:dyDescent="0.2">
      <c r="A559" t="s">
        <v>369</v>
      </c>
      <c r="B559">
        <v>2010</v>
      </c>
      <c r="C559">
        <v>16</v>
      </c>
      <c r="D559">
        <v>4</v>
      </c>
      <c r="E559" s="3">
        <v>5.08</v>
      </c>
      <c r="F559" s="3"/>
      <c r="G559" s="3"/>
      <c r="H559" s="3"/>
      <c r="I559" s="3">
        <v>-3.63</v>
      </c>
      <c r="J559">
        <v>5</v>
      </c>
      <c r="K559">
        <v>1</v>
      </c>
      <c r="L559">
        <v>0</v>
      </c>
      <c r="M559">
        <v>0</v>
      </c>
      <c r="N559" s="3"/>
    </row>
    <row r="560" spans="1:14" x14ac:dyDescent="0.2">
      <c r="A560" t="s">
        <v>372</v>
      </c>
      <c r="B560">
        <v>2010</v>
      </c>
      <c r="C560">
        <v>16</v>
      </c>
      <c r="D560">
        <v>4</v>
      </c>
      <c r="E560" s="3">
        <v>0.59</v>
      </c>
      <c r="F560" s="3"/>
      <c r="G560" s="3"/>
      <c r="H560" s="3"/>
      <c r="I560" s="3">
        <v>1.63</v>
      </c>
      <c r="J560">
        <v>7</v>
      </c>
      <c r="K560">
        <v>1</v>
      </c>
      <c r="L560">
        <v>0</v>
      </c>
      <c r="M560">
        <v>0</v>
      </c>
      <c r="N560" s="3"/>
    </row>
    <row r="561" spans="1:14" x14ac:dyDescent="0.2">
      <c r="A561" t="s">
        <v>367</v>
      </c>
      <c r="B561">
        <v>2010</v>
      </c>
      <c r="C561">
        <v>16</v>
      </c>
      <c r="D561">
        <v>3</v>
      </c>
      <c r="E561" s="3">
        <v>9.58</v>
      </c>
      <c r="F561" s="3"/>
      <c r="G561" s="3"/>
      <c r="H561" s="3"/>
      <c r="I561" s="3">
        <v>4.04</v>
      </c>
      <c r="J561">
        <v>13</v>
      </c>
      <c r="K561">
        <v>1</v>
      </c>
      <c r="L561">
        <v>0</v>
      </c>
      <c r="M561">
        <v>0</v>
      </c>
      <c r="N561" s="3"/>
    </row>
    <row r="562" spans="1:14" x14ac:dyDescent="0.2">
      <c r="A562" t="s">
        <v>375</v>
      </c>
      <c r="B562">
        <v>2010</v>
      </c>
      <c r="C562">
        <v>8</v>
      </c>
      <c r="D562">
        <v>3</v>
      </c>
      <c r="E562" s="3">
        <v>4.5999999999999996</v>
      </c>
      <c r="F562" s="3"/>
      <c r="G562" s="3"/>
      <c r="H562" s="3"/>
      <c r="I562" s="3">
        <v>-5.88</v>
      </c>
      <c r="J562">
        <v>-7</v>
      </c>
      <c r="K562">
        <v>0</v>
      </c>
      <c r="L562">
        <v>0</v>
      </c>
      <c r="M562">
        <v>0</v>
      </c>
      <c r="N562" s="3"/>
    </row>
    <row r="563" spans="1:14" x14ac:dyDescent="0.2">
      <c r="A563" t="s">
        <v>374</v>
      </c>
      <c r="B563">
        <v>2010</v>
      </c>
      <c r="C563">
        <v>8</v>
      </c>
      <c r="D563">
        <v>2</v>
      </c>
      <c r="E563" s="3">
        <v>7.17</v>
      </c>
      <c r="F563" s="3"/>
      <c r="G563" s="3"/>
      <c r="H563" s="3"/>
      <c r="I563" s="3">
        <v>6.19</v>
      </c>
      <c r="J563">
        <v>7</v>
      </c>
      <c r="K563">
        <v>1</v>
      </c>
      <c r="L563">
        <v>0</v>
      </c>
      <c r="M563">
        <v>0</v>
      </c>
      <c r="N563" s="3"/>
    </row>
    <row r="564" spans="1:14" x14ac:dyDescent="0.2">
      <c r="A564" t="s">
        <v>376</v>
      </c>
      <c r="B564">
        <v>2010</v>
      </c>
      <c r="C564">
        <v>8</v>
      </c>
      <c r="D564">
        <v>1</v>
      </c>
      <c r="E564" s="3">
        <v>1.54</v>
      </c>
      <c r="F564" s="3"/>
      <c r="G564" s="3"/>
      <c r="H564" s="3"/>
      <c r="I564" s="3">
        <v>-0.33</v>
      </c>
      <c r="J564">
        <v>1</v>
      </c>
      <c r="K564">
        <v>1</v>
      </c>
      <c r="L564">
        <v>0</v>
      </c>
      <c r="M564">
        <v>0</v>
      </c>
      <c r="N564" s="3"/>
    </row>
    <row r="565" spans="1:14" x14ac:dyDescent="0.2">
      <c r="A565" t="s">
        <v>373</v>
      </c>
      <c r="B565">
        <v>2010</v>
      </c>
      <c r="C565">
        <v>8</v>
      </c>
      <c r="D565">
        <v>1</v>
      </c>
      <c r="E565" s="3">
        <v>0.82</v>
      </c>
      <c r="F565" s="3"/>
      <c r="G565" s="3"/>
      <c r="H565" s="3"/>
      <c r="I565" s="3">
        <v>-4.4400000000000004</v>
      </c>
      <c r="J565">
        <v>-7</v>
      </c>
      <c r="K565">
        <v>0</v>
      </c>
      <c r="L565">
        <v>0</v>
      </c>
      <c r="M565">
        <v>0</v>
      </c>
      <c r="N565" s="3"/>
    </row>
    <row r="566" spans="1:14" x14ac:dyDescent="0.2">
      <c r="A566" t="s">
        <v>377</v>
      </c>
      <c r="B566">
        <v>2010</v>
      </c>
      <c r="C566">
        <v>4</v>
      </c>
      <c r="D566">
        <v>1</v>
      </c>
      <c r="E566" s="3">
        <v>5.86</v>
      </c>
      <c r="F566" s="3"/>
      <c r="G566" s="3"/>
      <c r="H566" s="3"/>
      <c r="I566" s="3">
        <v>-1.07</v>
      </c>
      <c r="J566">
        <v>21</v>
      </c>
      <c r="K566">
        <v>1</v>
      </c>
      <c r="L566">
        <v>0</v>
      </c>
      <c r="M566">
        <v>0</v>
      </c>
      <c r="N566" s="3"/>
    </row>
    <row r="567" spans="1:14" x14ac:dyDescent="0.2">
      <c r="A567" t="s">
        <v>378</v>
      </c>
      <c r="B567">
        <v>2010</v>
      </c>
      <c r="C567">
        <v>4</v>
      </c>
      <c r="D567">
        <v>0</v>
      </c>
      <c r="E567" s="3">
        <v>-1.96</v>
      </c>
      <c r="F567" s="3"/>
      <c r="G567" s="3"/>
      <c r="H567" s="3"/>
      <c r="I567" s="3">
        <v>-9.14</v>
      </c>
      <c r="J567">
        <v>-2</v>
      </c>
      <c r="K567">
        <v>0</v>
      </c>
      <c r="L567">
        <v>0</v>
      </c>
      <c r="M567">
        <v>0</v>
      </c>
      <c r="N567" s="3"/>
    </row>
    <row r="568" spans="1:14" x14ac:dyDescent="0.2">
      <c r="A568" t="s">
        <v>379</v>
      </c>
      <c r="B568">
        <v>2010</v>
      </c>
      <c r="C568">
        <v>2</v>
      </c>
      <c r="D568">
        <v>4</v>
      </c>
      <c r="E568" s="3">
        <v>11.44</v>
      </c>
      <c r="F568" s="3"/>
      <c r="G568" s="3"/>
      <c r="H568" s="3"/>
      <c r="I568" s="3">
        <v>-5.14</v>
      </c>
      <c r="J568">
        <v>2</v>
      </c>
      <c r="K568">
        <v>1</v>
      </c>
      <c r="L568">
        <v>0</v>
      </c>
      <c r="M568">
        <v>0</v>
      </c>
      <c r="N568" s="3"/>
    </row>
    <row r="569" spans="1:14" x14ac:dyDescent="0.2">
      <c r="A569" t="s">
        <v>398</v>
      </c>
      <c r="B569">
        <v>2009</v>
      </c>
      <c r="C569">
        <v>64</v>
      </c>
      <c r="D569">
        <v>15</v>
      </c>
      <c r="E569" s="3">
        <v>24.38363</v>
      </c>
      <c r="F569" s="3"/>
      <c r="G569" s="3"/>
      <c r="H569" s="3"/>
      <c r="I569" s="3">
        <v>7.1</v>
      </c>
      <c r="J569">
        <v>10</v>
      </c>
      <c r="K569">
        <v>1</v>
      </c>
      <c r="L569">
        <v>0</v>
      </c>
      <c r="M569">
        <v>0</v>
      </c>
      <c r="N569" s="3"/>
    </row>
    <row r="570" spans="1:14" x14ac:dyDescent="0.2">
      <c r="A570" t="s">
        <v>397</v>
      </c>
      <c r="B570">
        <v>2009</v>
      </c>
      <c r="C570">
        <v>64</v>
      </c>
      <c r="D570">
        <v>15</v>
      </c>
      <c r="E570" s="3">
        <v>31.88578</v>
      </c>
      <c r="F570" s="3"/>
      <c r="G570" s="3"/>
      <c r="H570" s="3"/>
      <c r="I570" s="3">
        <v>-9.14</v>
      </c>
      <c r="J570">
        <v>56</v>
      </c>
      <c r="K570">
        <v>1</v>
      </c>
      <c r="L570">
        <v>0</v>
      </c>
      <c r="M570">
        <v>0</v>
      </c>
      <c r="N570" s="3"/>
    </row>
    <row r="571" spans="1:14" x14ac:dyDescent="0.2">
      <c r="A571" t="s">
        <v>399</v>
      </c>
      <c r="B571">
        <v>2009</v>
      </c>
      <c r="C571">
        <v>64</v>
      </c>
      <c r="D571">
        <v>15</v>
      </c>
      <c r="E571" s="3">
        <v>29.022693</v>
      </c>
      <c r="F571" s="3"/>
      <c r="G571" s="3"/>
      <c r="H571" s="3"/>
      <c r="I571" s="3">
        <v>-3.37</v>
      </c>
      <c r="J571">
        <v>43</v>
      </c>
      <c r="K571">
        <v>1</v>
      </c>
      <c r="L571">
        <v>0</v>
      </c>
      <c r="M571">
        <v>0</v>
      </c>
      <c r="N571" s="3"/>
    </row>
    <row r="572" spans="1:14" x14ac:dyDescent="0.2">
      <c r="A572" t="s">
        <v>396</v>
      </c>
      <c r="B572">
        <v>2009</v>
      </c>
      <c r="C572">
        <v>64</v>
      </c>
      <c r="D572">
        <v>15</v>
      </c>
      <c r="E572" s="3">
        <v>25.384675000000001</v>
      </c>
      <c r="F572" s="3"/>
      <c r="G572" s="3"/>
      <c r="H572" s="3"/>
      <c r="I572" s="3">
        <v>3.89</v>
      </c>
      <c r="J572">
        <v>20</v>
      </c>
      <c r="K572">
        <v>1</v>
      </c>
      <c r="L572">
        <v>0</v>
      </c>
      <c r="M572">
        <v>0</v>
      </c>
      <c r="N572" s="3"/>
    </row>
    <row r="573" spans="1:14" x14ac:dyDescent="0.2">
      <c r="A573" t="s">
        <v>401</v>
      </c>
      <c r="B573">
        <v>2009</v>
      </c>
      <c r="C573">
        <v>64</v>
      </c>
      <c r="D573">
        <v>13</v>
      </c>
      <c r="E573" s="3">
        <v>26.199816999999999</v>
      </c>
      <c r="F573" s="3"/>
      <c r="G573" s="3"/>
      <c r="H573" s="3"/>
      <c r="I573" s="3">
        <v>10.85</v>
      </c>
      <c r="J573">
        <v>24</v>
      </c>
      <c r="K573">
        <v>1</v>
      </c>
      <c r="L573">
        <v>0</v>
      </c>
      <c r="M573">
        <v>0</v>
      </c>
      <c r="N573" s="3"/>
    </row>
    <row r="574" spans="1:14" x14ac:dyDescent="0.2">
      <c r="A574" t="s">
        <v>402</v>
      </c>
      <c r="B574">
        <v>2009</v>
      </c>
      <c r="C574">
        <v>64</v>
      </c>
      <c r="D574">
        <v>13</v>
      </c>
      <c r="E574" s="3">
        <v>24.325030000000002</v>
      </c>
      <c r="F574" s="3"/>
      <c r="G574" s="3"/>
      <c r="H574" s="3"/>
      <c r="I574" s="3">
        <v>4.6100000000000003</v>
      </c>
      <c r="J574">
        <v>11</v>
      </c>
      <c r="K574">
        <v>1</v>
      </c>
      <c r="L574">
        <v>0</v>
      </c>
      <c r="M574">
        <v>0</v>
      </c>
      <c r="N574" s="3"/>
    </row>
    <row r="575" spans="1:14" x14ac:dyDescent="0.2">
      <c r="A575" t="s">
        <v>403</v>
      </c>
      <c r="B575">
        <v>2009</v>
      </c>
      <c r="C575">
        <v>64</v>
      </c>
      <c r="D575">
        <v>13</v>
      </c>
      <c r="E575" s="3">
        <v>21.273399999999999</v>
      </c>
      <c r="F575" s="3"/>
      <c r="G575" s="3"/>
      <c r="H575" s="3"/>
      <c r="I575" s="3">
        <v>7.92</v>
      </c>
      <c r="J575">
        <v>15</v>
      </c>
      <c r="K575">
        <v>1</v>
      </c>
      <c r="L575">
        <v>0</v>
      </c>
      <c r="M575">
        <v>0</v>
      </c>
      <c r="N575" s="3"/>
    </row>
    <row r="576" spans="1:14" x14ac:dyDescent="0.2">
      <c r="A576" t="s">
        <v>400</v>
      </c>
      <c r="B576">
        <v>2009</v>
      </c>
      <c r="C576">
        <v>64</v>
      </c>
      <c r="D576">
        <v>13</v>
      </c>
      <c r="E576" s="3">
        <v>21.873460000000001</v>
      </c>
      <c r="F576" s="3"/>
      <c r="G576" s="3"/>
      <c r="H576" s="3"/>
      <c r="I576" s="3">
        <v>0.98</v>
      </c>
      <c r="J576">
        <v>28</v>
      </c>
      <c r="K576">
        <v>1</v>
      </c>
      <c r="L576">
        <v>0</v>
      </c>
      <c r="M576">
        <v>0</v>
      </c>
      <c r="N576" s="3"/>
    </row>
    <row r="577" spans="1:14" x14ac:dyDescent="0.2">
      <c r="A577" t="s">
        <v>405</v>
      </c>
      <c r="B577">
        <v>2009</v>
      </c>
      <c r="C577">
        <v>64</v>
      </c>
      <c r="D577">
        <v>11</v>
      </c>
      <c r="E577" s="3">
        <v>17.986879999999999</v>
      </c>
      <c r="F577" s="3"/>
      <c r="G577" s="3"/>
      <c r="H577" s="3"/>
      <c r="I577" s="3">
        <v>0.76</v>
      </c>
      <c r="J577">
        <v>19</v>
      </c>
      <c r="K577">
        <v>1</v>
      </c>
      <c r="L577">
        <v>0</v>
      </c>
      <c r="M577">
        <v>0</v>
      </c>
      <c r="N577" s="3"/>
    </row>
    <row r="578" spans="1:14" x14ac:dyDescent="0.2">
      <c r="A578" t="s">
        <v>406</v>
      </c>
      <c r="B578">
        <v>2009</v>
      </c>
      <c r="C578">
        <v>64</v>
      </c>
      <c r="D578">
        <v>11</v>
      </c>
      <c r="E578" s="3">
        <v>17.206669999999999</v>
      </c>
      <c r="F578" s="3"/>
      <c r="G578" s="3"/>
      <c r="H578" s="3"/>
      <c r="I578" s="3">
        <v>0.3</v>
      </c>
      <c r="J578">
        <v>13</v>
      </c>
      <c r="K578">
        <v>1</v>
      </c>
      <c r="L578">
        <v>0</v>
      </c>
      <c r="M578">
        <v>0</v>
      </c>
      <c r="N578" s="3"/>
    </row>
    <row r="579" spans="1:14" x14ac:dyDescent="0.2">
      <c r="A579" t="s">
        <v>407</v>
      </c>
      <c r="B579">
        <v>2009</v>
      </c>
      <c r="C579">
        <v>64</v>
      </c>
      <c r="D579">
        <v>11</v>
      </c>
      <c r="E579" s="3">
        <v>14.955819999999999</v>
      </c>
      <c r="F579" s="3"/>
      <c r="G579" s="3"/>
      <c r="H579" s="3"/>
      <c r="I579" s="3">
        <v>3.48</v>
      </c>
      <c r="J579">
        <v>15</v>
      </c>
      <c r="K579">
        <v>1</v>
      </c>
      <c r="L579">
        <v>0</v>
      </c>
      <c r="M579">
        <v>0</v>
      </c>
      <c r="N579" s="3"/>
    </row>
    <row r="580" spans="1:14" x14ac:dyDescent="0.2">
      <c r="A580" t="s">
        <v>404</v>
      </c>
      <c r="B580">
        <v>2009</v>
      </c>
      <c r="C580">
        <v>64</v>
      </c>
      <c r="D580">
        <v>11</v>
      </c>
      <c r="E580" s="3">
        <v>10.705299999999999</v>
      </c>
      <c r="F580" s="3"/>
      <c r="G580" s="3"/>
      <c r="H580" s="3"/>
      <c r="I580" s="3">
        <v>4.9800000000000004</v>
      </c>
      <c r="J580">
        <v>10</v>
      </c>
      <c r="K580">
        <v>1</v>
      </c>
      <c r="L580">
        <v>0</v>
      </c>
      <c r="M580">
        <v>0</v>
      </c>
      <c r="N580" s="3"/>
    </row>
    <row r="581" spans="1:14" x14ac:dyDescent="0.2">
      <c r="A581" t="s">
        <v>411</v>
      </c>
      <c r="B581">
        <v>2009</v>
      </c>
      <c r="C581">
        <v>64</v>
      </c>
      <c r="D581">
        <v>9</v>
      </c>
      <c r="E581" s="3">
        <v>18.970800000000001</v>
      </c>
      <c r="F581" s="3"/>
      <c r="G581" s="3"/>
      <c r="H581" s="3"/>
      <c r="I581" s="3">
        <v>12.78</v>
      </c>
      <c r="J581">
        <v>13</v>
      </c>
      <c r="K581">
        <v>1</v>
      </c>
      <c r="L581">
        <v>0</v>
      </c>
      <c r="M581">
        <v>0</v>
      </c>
      <c r="N581" s="3"/>
    </row>
    <row r="582" spans="1:14" x14ac:dyDescent="0.2">
      <c r="A582" t="s">
        <v>410</v>
      </c>
      <c r="B582">
        <v>2009</v>
      </c>
      <c r="C582">
        <v>64</v>
      </c>
      <c r="D582">
        <v>9</v>
      </c>
      <c r="E582" s="3">
        <v>14.24483</v>
      </c>
      <c r="F582" s="3"/>
      <c r="G582" s="3"/>
      <c r="H582" s="3"/>
      <c r="I582" s="3">
        <v>9.65</v>
      </c>
      <c r="J582">
        <v>18</v>
      </c>
      <c r="K582">
        <v>1</v>
      </c>
      <c r="L582">
        <v>0</v>
      </c>
      <c r="M582">
        <v>0</v>
      </c>
      <c r="N582" s="3"/>
    </row>
    <row r="583" spans="1:14" x14ac:dyDescent="0.2">
      <c r="A583" t="s">
        <v>409</v>
      </c>
      <c r="B583">
        <v>2009</v>
      </c>
      <c r="C583">
        <v>64</v>
      </c>
      <c r="D583">
        <v>9</v>
      </c>
      <c r="E583" s="3">
        <v>10.124700000000001</v>
      </c>
      <c r="F583" s="3"/>
      <c r="G583" s="3"/>
      <c r="H583" s="3"/>
      <c r="I583" s="3">
        <v>3.81</v>
      </c>
      <c r="J583">
        <v>13</v>
      </c>
      <c r="K583">
        <v>1</v>
      </c>
      <c r="L583">
        <v>0</v>
      </c>
      <c r="M583">
        <v>0</v>
      </c>
      <c r="N583" s="3"/>
    </row>
    <row r="584" spans="1:14" x14ac:dyDescent="0.2">
      <c r="A584" t="s">
        <v>408</v>
      </c>
      <c r="B584">
        <v>2009</v>
      </c>
      <c r="C584">
        <v>64</v>
      </c>
      <c r="D584">
        <v>9</v>
      </c>
      <c r="E584" s="3">
        <v>8.5947999999999993</v>
      </c>
      <c r="F584" s="3"/>
      <c r="G584" s="3"/>
      <c r="H584" s="3"/>
      <c r="I584" s="3">
        <v>-8.98</v>
      </c>
      <c r="J584">
        <v>-15</v>
      </c>
      <c r="K584">
        <v>0</v>
      </c>
      <c r="L584">
        <v>0</v>
      </c>
      <c r="M584">
        <v>0</v>
      </c>
      <c r="N584" s="3"/>
    </row>
    <row r="585" spans="1:14" x14ac:dyDescent="0.2">
      <c r="A585" t="s">
        <v>414</v>
      </c>
      <c r="B585">
        <v>2009</v>
      </c>
      <c r="C585">
        <v>64</v>
      </c>
      <c r="D585">
        <v>7</v>
      </c>
      <c r="E585" s="3">
        <v>12.11167</v>
      </c>
      <c r="F585" s="3"/>
      <c r="G585" s="3"/>
      <c r="H585" s="3"/>
      <c r="I585" s="3">
        <v>-3.98</v>
      </c>
      <c r="J585">
        <v>5</v>
      </c>
      <c r="K585">
        <v>1</v>
      </c>
      <c r="L585">
        <v>0</v>
      </c>
      <c r="M585">
        <v>0</v>
      </c>
      <c r="N585" s="3"/>
    </row>
    <row r="586" spans="1:14" x14ac:dyDescent="0.2">
      <c r="A586" t="s">
        <v>412</v>
      </c>
      <c r="B586">
        <v>2009</v>
      </c>
      <c r="C586">
        <v>64</v>
      </c>
      <c r="D586">
        <v>7</v>
      </c>
      <c r="E586" s="3">
        <v>12.06537</v>
      </c>
      <c r="F586" s="3"/>
      <c r="G586" s="3"/>
      <c r="H586" s="3"/>
      <c r="I586" s="3">
        <v>-3.92</v>
      </c>
      <c r="J586">
        <v>-4</v>
      </c>
      <c r="K586">
        <v>0</v>
      </c>
      <c r="L586">
        <v>0</v>
      </c>
      <c r="M586">
        <v>0</v>
      </c>
      <c r="N586" s="3"/>
    </row>
    <row r="587" spans="1:14" x14ac:dyDescent="0.2">
      <c r="A587" t="s">
        <v>415</v>
      </c>
      <c r="B587">
        <v>2009</v>
      </c>
      <c r="C587">
        <v>64</v>
      </c>
      <c r="D587">
        <v>7</v>
      </c>
      <c r="E587" s="3">
        <v>3.0247999999999999</v>
      </c>
      <c r="F587" s="3"/>
      <c r="G587" s="3"/>
      <c r="H587" s="3"/>
      <c r="I587" s="3">
        <v>2.2999999999999998</v>
      </c>
      <c r="J587">
        <v>-13</v>
      </c>
      <c r="K587">
        <v>0</v>
      </c>
      <c r="L587">
        <v>0</v>
      </c>
      <c r="M587">
        <v>0</v>
      </c>
      <c r="N587" s="3"/>
    </row>
    <row r="588" spans="1:14" x14ac:dyDescent="0.2">
      <c r="A588" t="s">
        <v>413</v>
      </c>
      <c r="B588">
        <v>2009</v>
      </c>
      <c r="C588">
        <v>64</v>
      </c>
      <c r="D588">
        <v>7</v>
      </c>
      <c r="E588" s="3">
        <v>-2.0082</v>
      </c>
      <c r="F588" s="3"/>
      <c r="G588" s="3"/>
      <c r="H588" s="3"/>
      <c r="I588" s="3">
        <v>-2.5499999999999998</v>
      </c>
      <c r="J588">
        <v>-2</v>
      </c>
      <c r="K588">
        <v>0</v>
      </c>
      <c r="L588">
        <v>0</v>
      </c>
      <c r="M588">
        <v>0</v>
      </c>
      <c r="N588" s="3"/>
    </row>
    <row r="589" spans="1:14" x14ac:dyDescent="0.2">
      <c r="A589" t="s">
        <v>416</v>
      </c>
      <c r="B589">
        <v>2009</v>
      </c>
      <c r="C589">
        <v>64</v>
      </c>
      <c r="D589">
        <v>5</v>
      </c>
      <c r="E589" s="3">
        <v>15.61251</v>
      </c>
      <c r="F589" s="3"/>
      <c r="G589" s="3"/>
      <c r="H589" s="3"/>
      <c r="I589" s="3">
        <v>4.41</v>
      </c>
      <c r="J589">
        <v>-8</v>
      </c>
      <c r="K589">
        <v>0</v>
      </c>
      <c r="L589">
        <v>0</v>
      </c>
      <c r="M589">
        <v>0</v>
      </c>
      <c r="N589" s="3"/>
    </row>
    <row r="590" spans="1:14" x14ac:dyDescent="0.2">
      <c r="A590" t="s">
        <v>418</v>
      </c>
      <c r="B590">
        <v>2009</v>
      </c>
      <c r="C590">
        <v>64</v>
      </c>
      <c r="D590">
        <v>5</v>
      </c>
      <c r="E590" s="3">
        <v>12.3535</v>
      </c>
      <c r="F590" s="3"/>
      <c r="G590" s="3"/>
      <c r="H590" s="3"/>
      <c r="I590" s="3">
        <v>-2.7</v>
      </c>
      <c r="J590">
        <v>1</v>
      </c>
      <c r="K590">
        <v>1</v>
      </c>
      <c r="L590">
        <v>0</v>
      </c>
      <c r="M590">
        <v>0</v>
      </c>
      <c r="N590" s="3"/>
    </row>
    <row r="591" spans="1:14" x14ac:dyDescent="0.2">
      <c r="A591" t="s">
        <v>419</v>
      </c>
      <c r="B591">
        <v>2009</v>
      </c>
      <c r="C591">
        <v>64</v>
      </c>
      <c r="D591">
        <v>5</v>
      </c>
      <c r="E591" s="3">
        <v>9.1155000000000008</v>
      </c>
      <c r="F591" s="3"/>
      <c r="G591" s="3"/>
      <c r="H591" s="3"/>
      <c r="I591" s="3">
        <v>-3.76</v>
      </c>
      <c r="J591">
        <v>9</v>
      </c>
      <c r="K591">
        <v>1</v>
      </c>
      <c r="L591">
        <v>0</v>
      </c>
      <c r="M591">
        <v>0</v>
      </c>
      <c r="N591" s="3"/>
    </row>
    <row r="592" spans="1:14" x14ac:dyDescent="0.2">
      <c r="A592" t="s">
        <v>417</v>
      </c>
      <c r="B592">
        <v>2009</v>
      </c>
      <c r="C592">
        <v>64</v>
      </c>
      <c r="D592">
        <v>5</v>
      </c>
      <c r="E592" s="3">
        <v>5.6894</v>
      </c>
      <c r="F592" s="3"/>
      <c r="G592" s="3"/>
      <c r="H592" s="3"/>
      <c r="I592" s="3">
        <v>0.43</v>
      </c>
      <c r="J592">
        <v>1</v>
      </c>
      <c r="K592">
        <v>1</v>
      </c>
      <c r="L592">
        <v>0</v>
      </c>
      <c r="M592">
        <v>0</v>
      </c>
      <c r="N592" s="3"/>
    </row>
    <row r="593" spans="1:14" x14ac:dyDescent="0.2">
      <c r="A593" t="s">
        <v>421</v>
      </c>
      <c r="B593">
        <v>2009</v>
      </c>
      <c r="C593">
        <v>64</v>
      </c>
      <c r="D593">
        <v>3</v>
      </c>
      <c r="E593" s="3">
        <v>4.9329999999999998</v>
      </c>
      <c r="F593" s="3"/>
      <c r="G593" s="3"/>
      <c r="H593" s="3"/>
      <c r="I593" s="3">
        <v>1.18</v>
      </c>
      <c r="J593">
        <v>-13</v>
      </c>
      <c r="K593">
        <v>0</v>
      </c>
      <c r="L593">
        <v>0</v>
      </c>
      <c r="M593">
        <v>0</v>
      </c>
      <c r="N593" s="3"/>
    </row>
    <row r="594" spans="1:14" x14ac:dyDescent="0.2">
      <c r="A594" t="s">
        <v>422</v>
      </c>
      <c r="B594">
        <v>2009</v>
      </c>
      <c r="C594">
        <v>64</v>
      </c>
      <c r="D594">
        <v>3</v>
      </c>
      <c r="E594" s="3">
        <v>2.7483</v>
      </c>
      <c r="F594" s="3"/>
      <c r="G594" s="3"/>
      <c r="H594" s="3"/>
      <c r="I594" s="3">
        <v>3.54</v>
      </c>
      <c r="J594">
        <v>14</v>
      </c>
      <c r="K594">
        <v>1</v>
      </c>
      <c r="L594">
        <v>0</v>
      </c>
      <c r="M594">
        <v>0</v>
      </c>
      <c r="N594" s="3"/>
    </row>
    <row r="595" spans="1:14" x14ac:dyDescent="0.2">
      <c r="A595" t="s">
        <v>423</v>
      </c>
      <c r="B595">
        <v>2009</v>
      </c>
      <c r="C595">
        <v>64</v>
      </c>
      <c r="D595">
        <v>3</v>
      </c>
      <c r="E595" s="3">
        <v>5.7953999999999999</v>
      </c>
      <c r="F595" s="3"/>
      <c r="G595" s="3"/>
      <c r="H595" s="3"/>
      <c r="I595" s="3">
        <v>-4.49</v>
      </c>
      <c r="J595">
        <v>-3</v>
      </c>
      <c r="K595">
        <v>0</v>
      </c>
      <c r="L595">
        <v>0</v>
      </c>
      <c r="M595">
        <v>0</v>
      </c>
      <c r="N595" s="3"/>
    </row>
    <row r="596" spans="1:14" x14ac:dyDescent="0.2">
      <c r="A596" t="s">
        <v>420</v>
      </c>
      <c r="B596">
        <v>2009</v>
      </c>
      <c r="C596">
        <v>64</v>
      </c>
      <c r="D596">
        <v>3</v>
      </c>
      <c r="E596" s="3">
        <v>-5.5427999999999997</v>
      </c>
      <c r="F596" s="3"/>
      <c r="G596" s="3"/>
      <c r="H596" s="3"/>
      <c r="I596" s="3">
        <v>-6.42</v>
      </c>
      <c r="J596">
        <v>-17</v>
      </c>
      <c r="K596">
        <v>0</v>
      </c>
      <c r="L596">
        <v>0</v>
      </c>
      <c r="M596">
        <v>0</v>
      </c>
      <c r="N596" s="3"/>
    </row>
    <row r="597" spans="1:14" x14ac:dyDescent="0.2">
      <c r="A597" t="s">
        <v>425</v>
      </c>
      <c r="B597">
        <v>2009</v>
      </c>
      <c r="C597">
        <v>64</v>
      </c>
      <c r="D597">
        <v>1</v>
      </c>
      <c r="E597" s="3">
        <v>7.2846000000000002</v>
      </c>
      <c r="F597" s="3"/>
      <c r="G597" s="3"/>
      <c r="H597" s="3"/>
      <c r="I597" s="3">
        <v>2.63</v>
      </c>
      <c r="J597">
        <v>-13</v>
      </c>
      <c r="K597">
        <v>0</v>
      </c>
      <c r="L597">
        <v>0</v>
      </c>
      <c r="M597">
        <v>0</v>
      </c>
      <c r="N597" s="3"/>
    </row>
    <row r="598" spans="1:14" x14ac:dyDescent="0.2">
      <c r="A598" t="s">
        <v>424</v>
      </c>
      <c r="B598">
        <v>2009</v>
      </c>
      <c r="C598">
        <v>64</v>
      </c>
      <c r="D598">
        <v>1</v>
      </c>
      <c r="E598" s="3">
        <v>4.7910000000000004</v>
      </c>
      <c r="F598" s="3"/>
      <c r="G598" s="3"/>
      <c r="H598" s="3"/>
      <c r="I598" s="3">
        <v>-6.5</v>
      </c>
      <c r="J598">
        <v>-2</v>
      </c>
      <c r="K598">
        <v>0</v>
      </c>
      <c r="L598">
        <v>0</v>
      </c>
      <c r="M598">
        <v>0</v>
      </c>
      <c r="N598" s="3"/>
    </row>
    <row r="599" spans="1:14" x14ac:dyDescent="0.2">
      <c r="A599" t="s">
        <v>426</v>
      </c>
      <c r="B599">
        <v>2009</v>
      </c>
      <c r="C599">
        <v>64</v>
      </c>
      <c r="D599">
        <v>1</v>
      </c>
      <c r="E599" s="3">
        <v>1.1838</v>
      </c>
      <c r="F599" s="3"/>
      <c r="G599" s="3"/>
      <c r="H599" s="3"/>
      <c r="I599" s="3">
        <v>-7.9</v>
      </c>
      <c r="J599">
        <v>2</v>
      </c>
      <c r="K599">
        <v>1</v>
      </c>
      <c r="L599">
        <v>0</v>
      </c>
      <c r="M599">
        <v>0</v>
      </c>
      <c r="N599" s="3"/>
    </row>
    <row r="600" spans="1:14" x14ac:dyDescent="0.2">
      <c r="A600" t="s">
        <v>427</v>
      </c>
      <c r="B600">
        <v>2009</v>
      </c>
      <c r="C600">
        <v>64</v>
      </c>
      <c r="D600">
        <v>1</v>
      </c>
      <c r="E600" s="3">
        <v>-1.4409000000000001</v>
      </c>
      <c r="F600" s="3"/>
      <c r="G600" s="3"/>
      <c r="H600" s="3"/>
      <c r="I600" s="3">
        <v>-9.4</v>
      </c>
      <c r="J600">
        <v>4</v>
      </c>
      <c r="K600">
        <v>1</v>
      </c>
      <c r="L600">
        <v>0</v>
      </c>
      <c r="M600">
        <v>0</v>
      </c>
      <c r="N600" s="3"/>
    </row>
    <row r="601" spans="1:14" x14ac:dyDescent="0.2">
      <c r="A601" t="s">
        <v>442</v>
      </c>
      <c r="B601">
        <v>2009</v>
      </c>
      <c r="C601">
        <v>32</v>
      </c>
      <c r="D601">
        <v>8</v>
      </c>
      <c r="E601" s="3">
        <v>18.53</v>
      </c>
      <c r="F601" s="3"/>
      <c r="G601" s="3"/>
      <c r="H601" s="3"/>
      <c r="I601" s="3">
        <v>6.04</v>
      </c>
      <c r="J601">
        <v>2</v>
      </c>
      <c r="K601">
        <v>1</v>
      </c>
      <c r="L601">
        <v>0</v>
      </c>
      <c r="M601">
        <v>0</v>
      </c>
      <c r="N601" s="3"/>
    </row>
    <row r="602" spans="1:14" x14ac:dyDescent="0.2">
      <c r="A602" t="s">
        <v>433</v>
      </c>
      <c r="B602">
        <v>2009</v>
      </c>
      <c r="C602">
        <v>32</v>
      </c>
      <c r="D602">
        <v>8</v>
      </c>
      <c r="E602" s="3">
        <v>15.06</v>
      </c>
      <c r="F602" s="3"/>
      <c r="G602" s="3"/>
      <c r="H602" s="3"/>
      <c r="I602" s="3">
        <v>5.57</v>
      </c>
      <c r="J602">
        <v>19</v>
      </c>
      <c r="K602">
        <v>1</v>
      </c>
      <c r="L602">
        <v>0</v>
      </c>
      <c r="M602">
        <v>0</v>
      </c>
      <c r="N602" s="3"/>
    </row>
    <row r="603" spans="1:14" x14ac:dyDescent="0.2">
      <c r="A603" t="s">
        <v>429</v>
      </c>
      <c r="B603">
        <v>2009</v>
      </c>
      <c r="C603">
        <v>32</v>
      </c>
      <c r="D603">
        <v>8</v>
      </c>
      <c r="E603" s="3">
        <v>12.71</v>
      </c>
      <c r="F603" s="3"/>
      <c r="G603" s="3"/>
      <c r="H603" s="3"/>
      <c r="I603" s="3">
        <v>2.25</v>
      </c>
      <c r="J603">
        <v>26</v>
      </c>
      <c r="K603">
        <v>1</v>
      </c>
      <c r="L603">
        <v>0</v>
      </c>
      <c r="M603">
        <v>0</v>
      </c>
      <c r="N603" s="3"/>
    </row>
    <row r="604" spans="1:14" x14ac:dyDescent="0.2">
      <c r="A604" t="s">
        <v>436</v>
      </c>
      <c r="B604">
        <v>2009</v>
      </c>
      <c r="C604">
        <v>32</v>
      </c>
      <c r="D604">
        <v>8</v>
      </c>
      <c r="E604" s="3">
        <v>12.91</v>
      </c>
      <c r="F604" s="3"/>
      <c r="G604" s="3"/>
      <c r="H604" s="3"/>
      <c r="I604" s="3">
        <v>6.72</v>
      </c>
      <c r="J604">
        <v>17</v>
      </c>
      <c r="K604">
        <v>1</v>
      </c>
      <c r="L604">
        <v>0</v>
      </c>
      <c r="M604">
        <v>0</v>
      </c>
      <c r="N604" s="3"/>
    </row>
    <row r="605" spans="1:14" x14ac:dyDescent="0.2">
      <c r="A605" t="s">
        <v>428</v>
      </c>
      <c r="B605">
        <v>2009</v>
      </c>
      <c r="C605">
        <v>32</v>
      </c>
      <c r="D605">
        <v>8</v>
      </c>
      <c r="E605" s="3">
        <v>13.61</v>
      </c>
      <c r="F605" s="3"/>
      <c r="G605" s="3"/>
      <c r="H605" s="3"/>
      <c r="I605" s="3">
        <v>7.87</v>
      </c>
      <c r="J605">
        <v>7</v>
      </c>
      <c r="K605">
        <v>1</v>
      </c>
      <c r="L605">
        <v>0</v>
      </c>
      <c r="M605">
        <v>0</v>
      </c>
      <c r="N605" s="3"/>
    </row>
    <row r="606" spans="1:14" x14ac:dyDescent="0.2">
      <c r="A606" t="s">
        <v>435</v>
      </c>
      <c r="B606">
        <v>2009</v>
      </c>
      <c r="C606">
        <v>32</v>
      </c>
      <c r="D606">
        <v>8</v>
      </c>
      <c r="E606" s="3">
        <v>9.4</v>
      </c>
      <c r="F606" s="3"/>
      <c r="G606" s="3"/>
      <c r="H606" s="3"/>
      <c r="I606" s="3">
        <v>-0.55000000000000004</v>
      </c>
      <c r="J606">
        <v>10</v>
      </c>
      <c r="K606">
        <v>1</v>
      </c>
      <c r="L606">
        <v>0</v>
      </c>
      <c r="M606">
        <v>0</v>
      </c>
      <c r="N606" s="3"/>
    </row>
    <row r="607" spans="1:14" x14ac:dyDescent="0.2">
      <c r="A607" t="s">
        <v>432</v>
      </c>
      <c r="B607">
        <v>2009</v>
      </c>
      <c r="C607">
        <v>32</v>
      </c>
      <c r="D607">
        <v>8</v>
      </c>
      <c r="E607" s="3">
        <v>4.12</v>
      </c>
      <c r="F607" s="3"/>
      <c r="G607" s="3"/>
      <c r="H607" s="3"/>
      <c r="I607" s="3">
        <v>2.54</v>
      </c>
      <c r="J607">
        <v>5</v>
      </c>
      <c r="K607">
        <v>1</v>
      </c>
      <c r="L607">
        <v>0</v>
      </c>
      <c r="M607">
        <v>0</v>
      </c>
      <c r="N607" s="3"/>
    </row>
    <row r="608" spans="1:14" x14ac:dyDescent="0.2">
      <c r="A608" t="s">
        <v>441</v>
      </c>
      <c r="B608">
        <v>2009</v>
      </c>
      <c r="C608">
        <v>32</v>
      </c>
      <c r="D608">
        <v>8</v>
      </c>
      <c r="E608" s="3">
        <v>1.99</v>
      </c>
      <c r="F608" s="3"/>
      <c r="G608" s="3"/>
      <c r="H608" s="3"/>
      <c r="I608" s="3">
        <v>4.88</v>
      </c>
      <c r="J608">
        <v>11</v>
      </c>
      <c r="K608">
        <v>1</v>
      </c>
      <c r="L608">
        <v>0</v>
      </c>
      <c r="M608">
        <v>0</v>
      </c>
      <c r="N608" s="3"/>
    </row>
    <row r="609" spans="1:14" x14ac:dyDescent="0.2">
      <c r="A609" t="s">
        <v>431</v>
      </c>
      <c r="B609">
        <v>2009</v>
      </c>
      <c r="C609">
        <v>32</v>
      </c>
      <c r="D609">
        <v>7</v>
      </c>
      <c r="E609" s="3">
        <v>13.6</v>
      </c>
      <c r="F609" s="3"/>
      <c r="G609" s="3"/>
      <c r="H609" s="3"/>
      <c r="I609" s="3">
        <v>6.41</v>
      </c>
      <c r="J609">
        <v>14</v>
      </c>
      <c r="K609">
        <v>1</v>
      </c>
      <c r="L609">
        <v>0</v>
      </c>
      <c r="M609">
        <v>0</v>
      </c>
      <c r="N609" s="3"/>
    </row>
    <row r="610" spans="1:14" x14ac:dyDescent="0.2">
      <c r="A610" t="s">
        <v>430</v>
      </c>
      <c r="B610">
        <v>2009</v>
      </c>
      <c r="C610">
        <v>32</v>
      </c>
      <c r="D610">
        <v>7</v>
      </c>
      <c r="E610" s="3">
        <v>10.76</v>
      </c>
      <c r="F610" s="3"/>
      <c r="G610" s="3"/>
      <c r="H610" s="3"/>
      <c r="I610" s="3">
        <v>2.36</v>
      </c>
      <c r="J610">
        <v>8</v>
      </c>
      <c r="K610">
        <v>1</v>
      </c>
      <c r="L610">
        <v>0</v>
      </c>
      <c r="M610">
        <v>0</v>
      </c>
      <c r="N610" s="3"/>
    </row>
    <row r="611" spans="1:14" x14ac:dyDescent="0.2">
      <c r="A611" t="s">
        <v>434</v>
      </c>
      <c r="B611">
        <v>2009</v>
      </c>
      <c r="C611">
        <v>32</v>
      </c>
      <c r="D611">
        <v>5</v>
      </c>
      <c r="E611" s="3">
        <v>6.1</v>
      </c>
      <c r="F611" s="3"/>
      <c r="G611" s="3"/>
      <c r="H611" s="3"/>
      <c r="I611" s="3">
        <v>1.65</v>
      </c>
      <c r="J611">
        <v>5</v>
      </c>
      <c r="K611">
        <v>1</v>
      </c>
      <c r="L611">
        <v>0</v>
      </c>
      <c r="M611">
        <v>0</v>
      </c>
      <c r="N611" s="3"/>
    </row>
    <row r="612" spans="1:14" x14ac:dyDescent="0.2">
      <c r="A612" t="s">
        <v>437</v>
      </c>
      <c r="B612">
        <v>2009</v>
      </c>
      <c r="C612">
        <v>32</v>
      </c>
      <c r="D612">
        <v>3</v>
      </c>
      <c r="E612" s="3">
        <v>3.33</v>
      </c>
      <c r="F612" s="3"/>
      <c r="G612" s="3"/>
      <c r="H612" s="3"/>
      <c r="I612" s="3">
        <v>0.77</v>
      </c>
      <c r="J612">
        <v>4</v>
      </c>
      <c r="K612">
        <v>1</v>
      </c>
      <c r="L612">
        <v>0</v>
      </c>
      <c r="M612">
        <v>0</v>
      </c>
      <c r="N612" s="3"/>
    </row>
    <row r="613" spans="1:14" x14ac:dyDescent="0.2">
      <c r="A613" t="s">
        <v>439</v>
      </c>
      <c r="B613">
        <v>2009</v>
      </c>
      <c r="C613">
        <v>32</v>
      </c>
      <c r="D613">
        <v>3</v>
      </c>
      <c r="E613" s="3">
        <v>-2.15</v>
      </c>
      <c r="F613" s="3"/>
      <c r="G613" s="3"/>
      <c r="H613" s="3"/>
      <c r="I613" s="3">
        <v>3.8</v>
      </c>
      <c r="J613">
        <v>11</v>
      </c>
      <c r="K613">
        <v>1</v>
      </c>
      <c r="L613">
        <v>0</v>
      </c>
      <c r="M613">
        <v>0</v>
      </c>
      <c r="N613" s="3"/>
    </row>
    <row r="614" spans="1:14" x14ac:dyDescent="0.2">
      <c r="A614" t="s">
        <v>438</v>
      </c>
      <c r="B614">
        <v>2009</v>
      </c>
      <c r="C614">
        <v>32</v>
      </c>
      <c r="D614">
        <v>3</v>
      </c>
      <c r="E614" s="3">
        <v>-3.48</v>
      </c>
      <c r="F614" s="3"/>
      <c r="G614" s="3"/>
      <c r="H614" s="3"/>
      <c r="I614" s="3">
        <v>-2.79</v>
      </c>
      <c r="J614">
        <v>20</v>
      </c>
      <c r="K614">
        <v>1</v>
      </c>
      <c r="L614">
        <v>0</v>
      </c>
      <c r="M614">
        <v>0</v>
      </c>
      <c r="N614" s="3"/>
    </row>
    <row r="615" spans="1:14" x14ac:dyDescent="0.2">
      <c r="A615" t="s">
        <v>443</v>
      </c>
      <c r="B615">
        <v>2009</v>
      </c>
      <c r="C615">
        <v>32</v>
      </c>
      <c r="D615">
        <v>1</v>
      </c>
      <c r="E615" s="3">
        <v>4.18</v>
      </c>
      <c r="F615" s="3"/>
      <c r="G615" s="3"/>
      <c r="H615" s="3"/>
      <c r="I615" s="3">
        <v>-0.79</v>
      </c>
      <c r="J615">
        <v>14</v>
      </c>
      <c r="K615">
        <v>1</v>
      </c>
      <c r="L615">
        <v>0</v>
      </c>
      <c r="M615">
        <v>0</v>
      </c>
      <c r="N615" s="3"/>
    </row>
    <row r="616" spans="1:14" x14ac:dyDescent="0.2">
      <c r="A616" t="s">
        <v>440</v>
      </c>
      <c r="B616">
        <v>2009</v>
      </c>
      <c r="C616">
        <v>32</v>
      </c>
      <c r="D616">
        <v>1</v>
      </c>
      <c r="E616" s="3">
        <v>0.86</v>
      </c>
      <c r="F616" s="3"/>
      <c r="G616" s="3"/>
      <c r="H616" s="3"/>
      <c r="I616" s="3">
        <v>5.17</v>
      </c>
      <c r="J616">
        <v>-2</v>
      </c>
      <c r="K616">
        <v>0</v>
      </c>
      <c r="L616">
        <v>0</v>
      </c>
      <c r="M616">
        <v>0</v>
      </c>
      <c r="N616" s="3"/>
    </row>
    <row r="617" spans="1:14" x14ac:dyDescent="0.2">
      <c r="A617" t="s">
        <v>444</v>
      </c>
      <c r="B617">
        <v>2009</v>
      </c>
      <c r="C617">
        <v>16</v>
      </c>
      <c r="D617">
        <v>11</v>
      </c>
      <c r="E617" s="3">
        <v>8.25</v>
      </c>
      <c r="F617" s="3"/>
      <c r="G617" s="3"/>
      <c r="H617" s="3"/>
      <c r="I617" s="3">
        <v>-0.93</v>
      </c>
      <c r="J617">
        <v>39</v>
      </c>
      <c r="K617">
        <v>1</v>
      </c>
      <c r="L617">
        <v>0</v>
      </c>
      <c r="M617">
        <v>0</v>
      </c>
      <c r="N617" s="3"/>
    </row>
    <row r="618" spans="1:14" x14ac:dyDescent="0.2">
      <c r="A618" t="s">
        <v>445</v>
      </c>
      <c r="B618">
        <v>2009</v>
      </c>
      <c r="C618">
        <v>16</v>
      </c>
      <c r="D618">
        <v>4</v>
      </c>
      <c r="E618" s="3">
        <v>7.66</v>
      </c>
      <c r="F618" s="3"/>
      <c r="G618" s="3"/>
      <c r="H618" s="3"/>
      <c r="I618" s="3">
        <v>2.61</v>
      </c>
      <c r="J618">
        <v>12</v>
      </c>
      <c r="K618">
        <v>1</v>
      </c>
      <c r="L618">
        <v>0</v>
      </c>
      <c r="M618">
        <v>0</v>
      </c>
      <c r="N618" s="3"/>
    </row>
    <row r="619" spans="1:14" x14ac:dyDescent="0.2">
      <c r="A619" t="s">
        <v>446</v>
      </c>
      <c r="B619">
        <v>2009</v>
      </c>
      <c r="C619">
        <v>16</v>
      </c>
      <c r="D619">
        <v>3</v>
      </c>
      <c r="E619" s="3">
        <v>9.11</v>
      </c>
      <c r="F619" s="3"/>
      <c r="G619" s="3"/>
      <c r="H619" s="3"/>
      <c r="I619" s="3">
        <v>-4.3899999999999997</v>
      </c>
      <c r="J619">
        <v>5</v>
      </c>
      <c r="K619">
        <v>1</v>
      </c>
      <c r="L619">
        <v>0</v>
      </c>
      <c r="M619">
        <v>0</v>
      </c>
      <c r="N619" s="3"/>
    </row>
    <row r="620" spans="1:14" x14ac:dyDescent="0.2">
      <c r="A620" t="s">
        <v>447</v>
      </c>
      <c r="B620">
        <v>2009</v>
      </c>
      <c r="C620">
        <v>16</v>
      </c>
      <c r="D620">
        <v>3</v>
      </c>
      <c r="E620" s="3">
        <v>3.09</v>
      </c>
      <c r="F620" s="3"/>
      <c r="G620" s="3"/>
      <c r="H620" s="3"/>
      <c r="I620" s="3">
        <v>-7.35</v>
      </c>
      <c r="J620">
        <v>21</v>
      </c>
      <c r="K620">
        <v>1</v>
      </c>
      <c r="L620">
        <v>0</v>
      </c>
      <c r="M620">
        <v>0</v>
      </c>
      <c r="N620" s="3"/>
    </row>
    <row r="621" spans="1:14" x14ac:dyDescent="0.2">
      <c r="A621" t="s">
        <v>449</v>
      </c>
      <c r="B621">
        <v>2009</v>
      </c>
      <c r="C621">
        <v>16</v>
      </c>
      <c r="D621">
        <v>1</v>
      </c>
      <c r="E621" s="3">
        <v>5.35</v>
      </c>
      <c r="F621" s="3"/>
      <c r="G621" s="3"/>
      <c r="H621" s="3"/>
      <c r="I621" s="3">
        <v>7.32</v>
      </c>
      <c r="J621">
        <v>-11</v>
      </c>
      <c r="K621">
        <v>0</v>
      </c>
      <c r="L621">
        <v>0</v>
      </c>
      <c r="M621">
        <v>0</v>
      </c>
      <c r="N621" s="3"/>
    </row>
    <row r="622" spans="1:14" x14ac:dyDescent="0.2">
      <c r="A622" t="s">
        <v>450</v>
      </c>
      <c r="B622">
        <v>2009</v>
      </c>
      <c r="C622">
        <v>16</v>
      </c>
      <c r="D622">
        <v>1</v>
      </c>
      <c r="E622" s="3">
        <v>2.4</v>
      </c>
      <c r="F622" s="3"/>
      <c r="G622" s="3"/>
      <c r="H622" s="3"/>
      <c r="I622" s="3">
        <v>7.52</v>
      </c>
      <c r="J622">
        <v>-23</v>
      </c>
      <c r="K622">
        <v>0</v>
      </c>
      <c r="L622">
        <v>0</v>
      </c>
      <c r="M622">
        <v>0</v>
      </c>
      <c r="N622" s="3"/>
    </row>
    <row r="623" spans="1:14" x14ac:dyDescent="0.2">
      <c r="A623" t="s">
        <v>451</v>
      </c>
      <c r="B623">
        <v>2009</v>
      </c>
      <c r="C623">
        <v>16</v>
      </c>
      <c r="D623">
        <v>1</v>
      </c>
      <c r="E623" s="3">
        <v>1.64</v>
      </c>
      <c r="F623" s="3"/>
      <c r="G623" s="3"/>
      <c r="H623" s="3"/>
      <c r="I623" s="3">
        <v>-2.4</v>
      </c>
      <c r="J623">
        <v>13</v>
      </c>
      <c r="K623">
        <v>1</v>
      </c>
      <c r="L623">
        <v>0</v>
      </c>
      <c r="M623">
        <v>0</v>
      </c>
      <c r="N623" s="3"/>
    </row>
    <row r="624" spans="1:14" x14ac:dyDescent="0.2">
      <c r="A624" t="s">
        <v>448</v>
      </c>
      <c r="B624">
        <v>2009</v>
      </c>
      <c r="C624">
        <v>16</v>
      </c>
      <c r="D624">
        <v>1</v>
      </c>
      <c r="E624" s="3">
        <v>-1.2</v>
      </c>
      <c r="F624" s="3"/>
      <c r="G624" s="3"/>
      <c r="H624" s="3"/>
      <c r="I624" s="3">
        <v>1.75</v>
      </c>
      <c r="J624">
        <v>5</v>
      </c>
      <c r="K624">
        <v>1</v>
      </c>
      <c r="L624">
        <v>0</v>
      </c>
      <c r="M624">
        <v>0</v>
      </c>
      <c r="N624" s="3"/>
    </row>
    <row r="625" spans="1:14" x14ac:dyDescent="0.2">
      <c r="A625" t="s">
        <v>454</v>
      </c>
      <c r="B625">
        <v>2009</v>
      </c>
      <c r="C625">
        <v>8</v>
      </c>
      <c r="D625">
        <v>2</v>
      </c>
      <c r="E625" s="3">
        <v>5.31</v>
      </c>
      <c r="F625" s="3"/>
      <c r="G625" s="3"/>
      <c r="H625" s="3"/>
      <c r="I625" s="3">
        <v>6.76</v>
      </c>
      <c r="J625">
        <v>-2</v>
      </c>
      <c r="K625">
        <v>0</v>
      </c>
      <c r="L625">
        <v>0</v>
      </c>
      <c r="M625">
        <v>0</v>
      </c>
      <c r="N625" s="3"/>
    </row>
    <row r="626" spans="1:14" x14ac:dyDescent="0.2">
      <c r="A626" t="s">
        <v>453</v>
      </c>
      <c r="B626">
        <v>2009</v>
      </c>
      <c r="C626">
        <v>8</v>
      </c>
      <c r="D626">
        <v>2</v>
      </c>
      <c r="E626" s="3">
        <v>4.97</v>
      </c>
      <c r="F626" s="3"/>
      <c r="G626" s="3"/>
      <c r="H626" s="3"/>
      <c r="I626" s="3">
        <v>1.55</v>
      </c>
      <c r="J626">
        <v>7</v>
      </c>
      <c r="K626">
        <v>1</v>
      </c>
      <c r="L626">
        <v>0</v>
      </c>
      <c r="M626">
        <v>0</v>
      </c>
      <c r="N626" s="3"/>
    </row>
    <row r="627" spans="1:14" x14ac:dyDescent="0.2">
      <c r="A627" t="s">
        <v>455</v>
      </c>
      <c r="B627">
        <v>2009</v>
      </c>
      <c r="C627">
        <v>8</v>
      </c>
      <c r="D627">
        <v>1</v>
      </c>
      <c r="E627" s="3">
        <v>4.42</v>
      </c>
      <c r="F627" s="3"/>
      <c r="G627" s="3"/>
      <c r="H627" s="3"/>
      <c r="I627" s="3">
        <v>0.24</v>
      </c>
      <c r="J627">
        <v>12</v>
      </c>
      <c r="K627">
        <v>1</v>
      </c>
      <c r="L627">
        <v>0</v>
      </c>
      <c r="M627">
        <v>0</v>
      </c>
      <c r="N627" s="3"/>
    </row>
    <row r="628" spans="1:14" x14ac:dyDescent="0.2">
      <c r="A628" t="s">
        <v>452</v>
      </c>
      <c r="B628">
        <v>2009</v>
      </c>
      <c r="C628">
        <v>8</v>
      </c>
      <c r="D628">
        <v>1</v>
      </c>
      <c r="E628" s="3">
        <v>4.01</v>
      </c>
      <c r="F628" s="3"/>
      <c r="G628" s="3"/>
      <c r="H628" s="3"/>
      <c r="I628" s="3">
        <v>-2.87</v>
      </c>
      <c r="J628">
        <v>-12</v>
      </c>
      <c r="K628">
        <v>0</v>
      </c>
      <c r="L628">
        <v>0</v>
      </c>
      <c r="M628">
        <v>0</v>
      </c>
      <c r="N628" s="3"/>
    </row>
    <row r="629" spans="1:14" x14ac:dyDescent="0.2">
      <c r="A629" t="s">
        <v>457</v>
      </c>
      <c r="B629">
        <v>2009</v>
      </c>
      <c r="C629">
        <v>4</v>
      </c>
      <c r="D629">
        <v>2</v>
      </c>
      <c r="E629" s="3">
        <v>5.72</v>
      </c>
      <c r="F629" s="3"/>
      <c r="G629" s="3"/>
      <c r="H629" s="3"/>
      <c r="I629" s="3">
        <v>4.9000000000000004</v>
      </c>
      <c r="J629">
        <v>14</v>
      </c>
      <c r="K629">
        <v>1</v>
      </c>
      <c r="L629">
        <v>0</v>
      </c>
      <c r="M629">
        <v>0</v>
      </c>
      <c r="N629" s="3"/>
    </row>
    <row r="630" spans="1:14" x14ac:dyDescent="0.2">
      <c r="A630" t="s">
        <v>456</v>
      </c>
      <c r="B630">
        <v>2009</v>
      </c>
      <c r="C630">
        <v>4</v>
      </c>
      <c r="D630">
        <v>1</v>
      </c>
      <c r="E630" s="3">
        <v>5.78</v>
      </c>
      <c r="F630" s="3"/>
      <c r="G630" s="3"/>
      <c r="H630" s="3"/>
      <c r="I630" s="3">
        <v>-6.1</v>
      </c>
      <c r="J630">
        <v>-9</v>
      </c>
      <c r="K630">
        <v>0</v>
      </c>
      <c r="L630">
        <v>0</v>
      </c>
      <c r="M630">
        <v>0</v>
      </c>
      <c r="N630" s="3"/>
    </row>
    <row r="631" spans="1:14" x14ac:dyDescent="0.2">
      <c r="A631" t="s">
        <v>458</v>
      </c>
      <c r="B631">
        <v>2009</v>
      </c>
      <c r="C631">
        <v>2</v>
      </c>
      <c r="D631">
        <v>1</v>
      </c>
      <c r="E631" s="3">
        <v>5.68</v>
      </c>
      <c r="F631" s="3"/>
      <c r="G631" s="3"/>
      <c r="H631" s="3"/>
      <c r="I631" s="3">
        <v>-4.26</v>
      </c>
      <c r="J631">
        <v>17</v>
      </c>
      <c r="K631">
        <v>1</v>
      </c>
      <c r="L631">
        <v>0</v>
      </c>
      <c r="M631">
        <v>0</v>
      </c>
      <c r="N631" s="3"/>
    </row>
    <row r="632" spans="1:14" x14ac:dyDescent="0.2">
      <c r="A632" t="s">
        <v>479</v>
      </c>
      <c r="B632">
        <v>2008</v>
      </c>
      <c r="C632">
        <v>64</v>
      </c>
      <c r="D632">
        <v>15</v>
      </c>
      <c r="E632" s="3">
        <v>45.542700000000004</v>
      </c>
      <c r="F632" s="3"/>
      <c r="G632" s="3"/>
      <c r="H632" s="3"/>
      <c r="I632" s="3">
        <v>-7.59</v>
      </c>
      <c r="J632">
        <v>41</v>
      </c>
      <c r="K632">
        <v>1</v>
      </c>
      <c r="L632">
        <v>0</v>
      </c>
      <c r="M632">
        <v>0</v>
      </c>
      <c r="N632" s="3"/>
    </row>
    <row r="633" spans="1:14" x14ac:dyDescent="0.2">
      <c r="A633" t="s">
        <v>478</v>
      </c>
      <c r="B633">
        <v>2008</v>
      </c>
      <c r="C633">
        <v>64</v>
      </c>
      <c r="D633">
        <v>15</v>
      </c>
      <c r="E633" s="3">
        <v>31.375409999999999</v>
      </c>
      <c r="F633" s="3"/>
      <c r="G633" s="3"/>
      <c r="H633" s="3"/>
      <c r="I633" s="3">
        <v>13.04</v>
      </c>
      <c r="J633">
        <v>24</v>
      </c>
      <c r="K633">
        <v>1</v>
      </c>
      <c r="L633">
        <v>0</v>
      </c>
      <c r="M633">
        <v>0</v>
      </c>
      <c r="N633" s="3"/>
    </row>
    <row r="634" spans="1:14" x14ac:dyDescent="0.2">
      <c r="A634" t="s">
        <v>476</v>
      </c>
      <c r="B634">
        <v>2008</v>
      </c>
      <c r="C634">
        <v>64</v>
      </c>
      <c r="D634">
        <v>15</v>
      </c>
      <c r="E634" s="3">
        <v>29.185449999999999</v>
      </c>
      <c r="F634" s="3"/>
      <c r="G634" s="3"/>
      <c r="H634" s="3"/>
      <c r="I634" s="3">
        <v>2.9</v>
      </c>
      <c r="J634">
        <v>39</v>
      </c>
      <c r="K634">
        <v>1</v>
      </c>
      <c r="L634">
        <v>0</v>
      </c>
      <c r="M634">
        <v>0</v>
      </c>
      <c r="N634" s="3"/>
    </row>
    <row r="635" spans="1:14" x14ac:dyDescent="0.2">
      <c r="A635" t="s">
        <v>477</v>
      </c>
      <c r="B635">
        <v>2008</v>
      </c>
      <c r="C635">
        <v>64</v>
      </c>
      <c r="D635">
        <v>15</v>
      </c>
      <c r="E635" s="3">
        <v>28.128050000000002</v>
      </c>
      <c r="F635" s="3"/>
      <c r="G635" s="3"/>
      <c r="H635" s="3"/>
      <c r="I635" s="3">
        <v>0.42</v>
      </c>
      <c r="J635">
        <v>24</v>
      </c>
      <c r="K635">
        <v>1</v>
      </c>
      <c r="L635">
        <v>0</v>
      </c>
      <c r="M635">
        <v>0</v>
      </c>
      <c r="N635" s="3"/>
    </row>
    <row r="636" spans="1:14" x14ac:dyDescent="0.2">
      <c r="A636" t="s">
        <v>483</v>
      </c>
      <c r="B636">
        <v>2008</v>
      </c>
      <c r="C636">
        <v>64</v>
      </c>
      <c r="D636">
        <v>13</v>
      </c>
      <c r="E636" s="3">
        <v>25.049340000000001</v>
      </c>
      <c r="F636" s="3"/>
      <c r="G636" s="3"/>
      <c r="H636" s="3"/>
      <c r="I636" s="3">
        <v>6.39</v>
      </c>
      <c r="J636">
        <v>1</v>
      </c>
      <c r="K636">
        <v>1</v>
      </c>
      <c r="L636">
        <v>0</v>
      </c>
      <c r="M636">
        <v>0</v>
      </c>
      <c r="N636" s="3"/>
    </row>
    <row r="637" spans="1:14" x14ac:dyDescent="0.2">
      <c r="A637" t="s">
        <v>480</v>
      </c>
      <c r="B637">
        <v>2008</v>
      </c>
      <c r="C637">
        <v>64</v>
      </c>
      <c r="D637">
        <v>13</v>
      </c>
      <c r="E637" s="3">
        <v>20.651199999999999</v>
      </c>
      <c r="F637" s="3"/>
      <c r="G637" s="3"/>
      <c r="H637" s="3"/>
      <c r="I637" s="3">
        <v>12.74</v>
      </c>
      <c r="J637">
        <v>15</v>
      </c>
      <c r="K637">
        <v>1</v>
      </c>
      <c r="L637">
        <v>0</v>
      </c>
      <c r="M637">
        <v>0</v>
      </c>
      <c r="N637" s="3"/>
    </row>
    <row r="638" spans="1:14" x14ac:dyDescent="0.2">
      <c r="A638" t="s">
        <v>482</v>
      </c>
      <c r="B638">
        <v>2008</v>
      </c>
      <c r="C638">
        <v>64</v>
      </c>
      <c r="D638">
        <v>13</v>
      </c>
      <c r="E638" s="3">
        <v>25.024398000000001</v>
      </c>
      <c r="F638" s="3"/>
      <c r="G638" s="3"/>
      <c r="H638" s="3"/>
      <c r="I638" s="3">
        <v>-0.68</v>
      </c>
      <c r="J638">
        <v>20</v>
      </c>
      <c r="K638">
        <v>1</v>
      </c>
      <c r="L638">
        <v>0</v>
      </c>
      <c r="M638">
        <v>0</v>
      </c>
      <c r="N638" s="3"/>
    </row>
    <row r="639" spans="1:14" x14ac:dyDescent="0.2">
      <c r="A639" t="s">
        <v>481</v>
      </c>
      <c r="B639">
        <v>2008</v>
      </c>
      <c r="C639">
        <v>64</v>
      </c>
      <c r="D639">
        <v>13</v>
      </c>
      <c r="E639" s="3">
        <v>20.883330000000001</v>
      </c>
      <c r="F639" s="3"/>
      <c r="G639" s="3"/>
      <c r="H639" s="3"/>
      <c r="I639" s="3">
        <v>-0.42</v>
      </c>
      <c r="J639">
        <v>19</v>
      </c>
      <c r="K639">
        <v>1</v>
      </c>
      <c r="L639">
        <v>0</v>
      </c>
      <c r="M639">
        <v>0</v>
      </c>
      <c r="N639" s="3"/>
    </row>
    <row r="640" spans="1:14" x14ac:dyDescent="0.2">
      <c r="A640" t="s">
        <v>506</v>
      </c>
      <c r="B640">
        <v>2008</v>
      </c>
      <c r="C640">
        <v>64</v>
      </c>
      <c r="D640">
        <v>11</v>
      </c>
      <c r="E640" s="3">
        <v>19.07761</v>
      </c>
      <c r="F640" s="3"/>
      <c r="G640" s="3"/>
      <c r="H640" s="3"/>
      <c r="I640" s="3">
        <v>7.46</v>
      </c>
      <c r="J640">
        <v>18</v>
      </c>
      <c r="K640">
        <v>1</v>
      </c>
      <c r="L640">
        <v>0</v>
      </c>
      <c r="M640">
        <v>0</v>
      </c>
      <c r="N640" s="3"/>
    </row>
    <row r="641" spans="1:14" x14ac:dyDescent="0.2">
      <c r="A641" t="s">
        <v>484</v>
      </c>
      <c r="B641">
        <v>2008</v>
      </c>
      <c r="C641">
        <v>64</v>
      </c>
      <c r="D641">
        <v>11</v>
      </c>
      <c r="E641" s="3">
        <v>18.536110000000001</v>
      </c>
      <c r="F641" s="3"/>
      <c r="G641" s="3"/>
      <c r="H641" s="3"/>
      <c r="I641" s="3">
        <v>6.69</v>
      </c>
      <c r="J641">
        <v>15</v>
      </c>
      <c r="K641">
        <v>1</v>
      </c>
      <c r="L641">
        <v>0</v>
      </c>
      <c r="M641">
        <v>0</v>
      </c>
      <c r="N641" s="3"/>
    </row>
    <row r="642" spans="1:14" x14ac:dyDescent="0.2">
      <c r="A642" t="s">
        <v>485</v>
      </c>
      <c r="B642">
        <v>2008</v>
      </c>
      <c r="C642">
        <v>64</v>
      </c>
      <c r="D642">
        <v>11</v>
      </c>
      <c r="E642" s="3">
        <v>18.891760000000001</v>
      </c>
      <c r="F642" s="3"/>
      <c r="G642" s="3"/>
      <c r="H642" s="3"/>
      <c r="I642" s="3">
        <v>-0.28999999999999998</v>
      </c>
      <c r="J642">
        <v>24</v>
      </c>
      <c r="K642">
        <v>1</v>
      </c>
      <c r="L642">
        <v>0</v>
      </c>
      <c r="M642">
        <v>0</v>
      </c>
      <c r="N642" s="3"/>
    </row>
    <row r="643" spans="1:14" x14ac:dyDescent="0.2">
      <c r="A643" t="s">
        <v>486</v>
      </c>
      <c r="B643">
        <v>2008</v>
      </c>
      <c r="C643">
        <v>64</v>
      </c>
      <c r="D643">
        <v>11</v>
      </c>
      <c r="E643" s="3">
        <v>14.44999</v>
      </c>
      <c r="F643" s="3"/>
      <c r="G643" s="3"/>
      <c r="H643" s="3"/>
      <c r="I643" s="3">
        <v>7.31</v>
      </c>
      <c r="J643">
        <v>12</v>
      </c>
      <c r="K643">
        <v>1</v>
      </c>
      <c r="L643">
        <v>0</v>
      </c>
      <c r="M643">
        <v>0</v>
      </c>
      <c r="N643" s="3"/>
    </row>
    <row r="644" spans="1:14" x14ac:dyDescent="0.2">
      <c r="A644" t="s">
        <v>490</v>
      </c>
      <c r="B644">
        <v>2008</v>
      </c>
      <c r="C644">
        <v>64</v>
      </c>
      <c r="D644">
        <v>9</v>
      </c>
      <c r="E644" s="3">
        <v>14.588660000000001</v>
      </c>
      <c r="F644" s="3"/>
      <c r="G644" s="3"/>
      <c r="H644" s="3"/>
      <c r="I644" s="3">
        <v>-0.64</v>
      </c>
      <c r="J644">
        <v>-1</v>
      </c>
      <c r="K644">
        <v>0</v>
      </c>
      <c r="L644">
        <v>0</v>
      </c>
      <c r="M644">
        <v>0</v>
      </c>
      <c r="N644" s="3"/>
    </row>
    <row r="645" spans="1:14" x14ac:dyDescent="0.2">
      <c r="A645" t="s">
        <v>487</v>
      </c>
      <c r="B645">
        <v>2008</v>
      </c>
      <c r="C645">
        <v>64</v>
      </c>
      <c r="D645">
        <v>9</v>
      </c>
      <c r="E645" s="3">
        <v>16.597670000000001</v>
      </c>
      <c r="F645" s="3"/>
      <c r="G645" s="3"/>
      <c r="H645" s="3"/>
      <c r="I645" s="3">
        <v>-12.17</v>
      </c>
      <c r="J645">
        <v>31</v>
      </c>
      <c r="K645">
        <v>1</v>
      </c>
      <c r="L645">
        <v>0</v>
      </c>
      <c r="M645">
        <v>0</v>
      </c>
      <c r="N645" s="3"/>
    </row>
    <row r="646" spans="1:14" x14ac:dyDescent="0.2">
      <c r="A646" t="s">
        <v>488</v>
      </c>
      <c r="B646">
        <v>2008</v>
      </c>
      <c r="C646">
        <v>64</v>
      </c>
      <c r="D646">
        <v>9</v>
      </c>
      <c r="E646" s="3">
        <v>6.7625099999999998</v>
      </c>
      <c r="F646" s="3"/>
      <c r="G646" s="3"/>
      <c r="H646" s="3"/>
      <c r="I646" s="3">
        <v>-2.2000000000000002</v>
      </c>
      <c r="J646">
        <v>-21</v>
      </c>
      <c r="K646">
        <v>0</v>
      </c>
      <c r="L646">
        <v>0</v>
      </c>
      <c r="M646">
        <v>0</v>
      </c>
      <c r="N646" s="3"/>
    </row>
    <row r="647" spans="1:14" x14ac:dyDescent="0.2">
      <c r="A647" t="s">
        <v>489</v>
      </c>
      <c r="B647">
        <v>2008</v>
      </c>
      <c r="C647">
        <v>64</v>
      </c>
      <c r="D647">
        <v>9</v>
      </c>
      <c r="E647" s="3">
        <v>8.3793000000000006</v>
      </c>
      <c r="F647" s="3"/>
      <c r="G647" s="3"/>
      <c r="H647" s="3"/>
      <c r="I647" s="3">
        <v>-6.45</v>
      </c>
      <c r="J647">
        <v>19</v>
      </c>
      <c r="K647">
        <v>1</v>
      </c>
      <c r="L647">
        <v>0</v>
      </c>
      <c r="M647">
        <v>0</v>
      </c>
      <c r="N647" s="3"/>
    </row>
    <row r="648" spans="1:14" x14ac:dyDescent="0.2">
      <c r="A648" t="s">
        <v>492</v>
      </c>
      <c r="B648">
        <v>2008</v>
      </c>
      <c r="C648">
        <v>64</v>
      </c>
      <c r="D648">
        <v>7</v>
      </c>
      <c r="E648" s="3">
        <v>9.3841999999999999</v>
      </c>
      <c r="F648" s="3"/>
      <c r="G648" s="3"/>
      <c r="H648" s="3"/>
      <c r="I648" s="3">
        <v>2.69</v>
      </c>
      <c r="J648">
        <v>-6</v>
      </c>
      <c r="K648">
        <v>0</v>
      </c>
      <c r="L648">
        <v>0</v>
      </c>
      <c r="M648">
        <v>0</v>
      </c>
      <c r="N648" s="3"/>
    </row>
    <row r="649" spans="1:14" x14ac:dyDescent="0.2">
      <c r="A649" t="s">
        <v>493</v>
      </c>
      <c r="B649">
        <v>2008</v>
      </c>
      <c r="C649">
        <v>64</v>
      </c>
      <c r="D649">
        <v>7</v>
      </c>
      <c r="E649" s="3">
        <v>8.4449000000000005</v>
      </c>
      <c r="F649" s="3"/>
      <c r="G649" s="3"/>
      <c r="H649" s="3"/>
      <c r="I649" s="3">
        <v>-0.64</v>
      </c>
      <c r="J649">
        <v>11</v>
      </c>
      <c r="K649">
        <v>1</v>
      </c>
      <c r="L649">
        <v>0</v>
      </c>
      <c r="M649">
        <v>0</v>
      </c>
      <c r="N649" s="3"/>
    </row>
    <row r="650" spans="1:14" x14ac:dyDescent="0.2">
      <c r="A650" t="s">
        <v>494</v>
      </c>
      <c r="B650">
        <v>2008</v>
      </c>
      <c r="C650">
        <v>64</v>
      </c>
      <c r="D650">
        <v>7</v>
      </c>
      <c r="E650" s="3">
        <v>8.2746999999999993</v>
      </c>
      <c r="F650" s="3"/>
      <c r="G650" s="3"/>
      <c r="H650" s="3"/>
      <c r="I650" s="3">
        <v>-0.78</v>
      </c>
      <c r="J650">
        <v>-2</v>
      </c>
      <c r="K650">
        <v>0</v>
      </c>
      <c r="L650">
        <v>0</v>
      </c>
      <c r="M650">
        <v>0</v>
      </c>
      <c r="N650" s="3"/>
    </row>
    <row r="651" spans="1:14" x14ac:dyDescent="0.2">
      <c r="A651" t="s">
        <v>491</v>
      </c>
      <c r="B651">
        <v>2008</v>
      </c>
      <c r="C651">
        <v>64</v>
      </c>
      <c r="D651">
        <v>7</v>
      </c>
      <c r="E651" s="3">
        <v>8.9174000000000007</v>
      </c>
      <c r="F651" s="3"/>
      <c r="G651" s="3"/>
      <c r="H651" s="3"/>
      <c r="I651" s="3">
        <v>-6.37</v>
      </c>
      <c r="J651">
        <v>18</v>
      </c>
      <c r="K651">
        <v>1</v>
      </c>
      <c r="L651">
        <v>0</v>
      </c>
      <c r="M651">
        <v>0</v>
      </c>
      <c r="N651" s="3"/>
    </row>
    <row r="652" spans="1:14" x14ac:dyDescent="0.2">
      <c r="A652" t="s">
        <v>497</v>
      </c>
      <c r="B652">
        <v>2008</v>
      </c>
      <c r="C652">
        <v>64</v>
      </c>
      <c r="D652">
        <v>5</v>
      </c>
      <c r="E652" s="3">
        <v>12.14245</v>
      </c>
      <c r="F652" s="3"/>
      <c r="G652" s="3"/>
      <c r="H652" s="3"/>
      <c r="I652" s="3">
        <v>-2.57</v>
      </c>
      <c r="J652">
        <v>8</v>
      </c>
      <c r="K652">
        <v>1</v>
      </c>
      <c r="L652">
        <v>0</v>
      </c>
      <c r="M652">
        <v>0</v>
      </c>
      <c r="N652" s="3"/>
    </row>
    <row r="653" spans="1:14" x14ac:dyDescent="0.2">
      <c r="A653" t="s">
        <v>498</v>
      </c>
      <c r="B653">
        <v>2008</v>
      </c>
      <c r="C653">
        <v>64</v>
      </c>
      <c r="D653">
        <v>5</v>
      </c>
      <c r="E653" s="3">
        <v>2.7172999999999998</v>
      </c>
      <c r="F653" s="3"/>
      <c r="G653" s="3"/>
      <c r="H653" s="3"/>
      <c r="I653" s="3">
        <v>2.64</v>
      </c>
      <c r="J653">
        <v>11</v>
      </c>
      <c r="K653">
        <v>1</v>
      </c>
      <c r="L653">
        <v>0</v>
      </c>
      <c r="M653">
        <v>0</v>
      </c>
      <c r="N653" s="3"/>
    </row>
    <row r="654" spans="1:14" x14ac:dyDescent="0.2">
      <c r="A654" t="s">
        <v>496</v>
      </c>
      <c r="B654">
        <v>2008</v>
      </c>
      <c r="C654">
        <v>64</v>
      </c>
      <c r="D654">
        <v>5</v>
      </c>
      <c r="E654" s="3">
        <v>1.0745</v>
      </c>
      <c r="F654" s="3"/>
      <c r="G654" s="3"/>
      <c r="H654" s="3"/>
      <c r="I654" s="3">
        <v>2.2999999999999998</v>
      </c>
      <c r="J654">
        <v>-13</v>
      </c>
      <c r="K654">
        <v>0</v>
      </c>
      <c r="L654">
        <v>0</v>
      </c>
      <c r="M654">
        <v>0</v>
      </c>
      <c r="N654" s="3"/>
    </row>
    <row r="655" spans="1:14" x14ac:dyDescent="0.2">
      <c r="A655" t="s">
        <v>495</v>
      </c>
      <c r="B655">
        <v>2008</v>
      </c>
      <c r="C655">
        <v>64</v>
      </c>
      <c r="D655">
        <v>5</v>
      </c>
      <c r="E655" s="3">
        <v>0.50929999999999997</v>
      </c>
      <c r="F655" s="3"/>
      <c r="G655" s="3"/>
      <c r="H655" s="3"/>
      <c r="I655" s="3">
        <v>1.98</v>
      </c>
      <c r="J655">
        <v>8</v>
      </c>
      <c r="K655">
        <v>1</v>
      </c>
      <c r="L655">
        <v>0</v>
      </c>
      <c r="M655">
        <v>0</v>
      </c>
      <c r="N655" s="3"/>
    </row>
    <row r="656" spans="1:14" x14ac:dyDescent="0.2">
      <c r="A656" t="s">
        <v>499</v>
      </c>
      <c r="B656">
        <v>2008</v>
      </c>
      <c r="C656">
        <v>64</v>
      </c>
      <c r="D656">
        <v>3</v>
      </c>
      <c r="E656" s="3">
        <v>6.6736000000000004</v>
      </c>
      <c r="F656" s="3"/>
      <c r="G656" s="3"/>
      <c r="H656" s="3"/>
      <c r="I656" s="3">
        <v>3.42</v>
      </c>
      <c r="J656">
        <v>20</v>
      </c>
      <c r="K656">
        <v>1</v>
      </c>
      <c r="L656">
        <v>0</v>
      </c>
      <c r="M656">
        <v>0</v>
      </c>
      <c r="N656" s="3"/>
    </row>
    <row r="657" spans="1:14" x14ac:dyDescent="0.2">
      <c r="A657" t="s">
        <v>500</v>
      </c>
      <c r="B657">
        <v>2008</v>
      </c>
      <c r="C657">
        <v>64</v>
      </c>
      <c r="D657">
        <v>3</v>
      </c>
      <c r="E657" s="3">
        <v>-1.2231000000000001</v>
      </c>
      <c r="F657" s="3"/>
      <c r="G657" s="3"/>
      <c r="H657" s="3"/>
      <c r="I657" s="3">
        <v>12.21</v>
      </c>
      <c r="J657">
        <v>-6</v>
      </c>
      <c r="K657">
        <v>0</v>
      </c>
      <c r="L657">
        <v>0</v>
      </c>
      <c r="M657">
        <v>0</v>
      </c>
      <c r="N657" s="3"/>
    </row>
    <row r="658" spans="1:14" x14ac:dyDescent="0.2">
      <c r="A658" t="s">
        <v>501</v>
      </c>
      <c r="B658">
        <v>2008</v>
      </c>
      <c r="C658">
        <v>64</v>
      </c>
      <c r="D658">
        <v>3</v>
      </c>
      <c r="E658" s="3">
        <v>-1.3148</v>
      </c>
      <c r="F658" s="3"/>
      <c r="G658" s="3"/>
      <c r="H658" s="3"/>
      <c r="I658" s="3">
        <v>-6.82</v>
      </c>
      <c r="J658">
        <v>14</v>
      </c>
      <c r="K658">
        <v>1</v>
      </c>
      <c r="L658">
        <v>0</v>
      </c>
      <c r="M658">
        <v>0</v>
      </c>
      <c r="N658" s="3"/>
    </row>
    <row r="659" spans="1:14" x14ac:dyDescent="0.2">
      <c r="A659" t="s">
        <v>502</v>
      </c>
      <c r="B659">
        <v>2008</v>
      </c>
      <c r="C659">
        <v>64</v>
      </c>
      <c r="D659">
        <v>3</v>
      </c>
      <c r="E659" s="3">
        <v>-8.7099999999999997E-2</v>
      </c>
      <c r="F659" s="3"/>
      <c r="G659" s="3"/>
      <c r="H659" s="3"/>
      <c r="I659" s="3">
        <v>-11</v>
      </c>
      <c r="J659">
        <v>10</v>
      </c>
      <c r="K659">
        <v>1</v>
      </c>
      <c r="L659">
        <v>0</v>
      </c>
      <c r="M659">
        <v>0</v>
      </c>
      <c r="N659" s="3"/>
    </row>
    <row r="660" spans="1:14" x14ac:dyDescent="0.2">
      <c r="A660" t="s">
        <v>503</v>
      </c>
      <c r="B660">
        <v>2008</v>
      </c>
      <c r="C660">
        <v>64</v>
      </c>
      <c r="D660">
        <v>1</v>
      </c>
      <c r="E660" s="3">
        <v>4.6386000000000003</v>
      </c>
      <c r="F660" s="3"/>
      <c r="G660" s="3"/>
      <c r="H660" s="3"/>
      <c r="I660" s="3">
        <v>-0.6</v>
      </c>
      <c r="J660">
        <v>-14</v>
      </c>
      <c r="K660">
        <v>0</v>
      </c>
      <c r="L660">
        <v>0</v>
      </c>
      <c r="M660">
        <v>0</v>
      </c>
      <c r="N660" s="3"/>
    </row>
    <row r="661" spans="1:14" x14ac:dyDescent="0.2">
      <c r="A661" t="s">
        <v>504</v>
      </c>
      <c r="B661">
        <v>2008</v>
      </c>
      <c r="C661">
        <v>64</v>
      </c>
      <c r="D661">
        <v>1</v>
      </c>
      <c r="E661" s="3">
        <v>-0.20810000000000001</v>
      </c>
      <c r="F661" s="3"/>
      <c r="G661" s="3"/>
      <c r="H661" s="3"/>
      <c r="I661" s="3">
        <v>0.49</v>
      </c>
      <c r="J661">
        <v>13</v>
      </c>
      <c r="K661">
        <v>1</v>
      </c>
      <c r="L661">
        <v>0</v>
      </c>
      <c r="M661">
        <v>0</v>
      </c>
      <c r="N661" s="3"/>
    </row>
    <row r="662" spans="1:14" x14ac:dyDescent="0.2">
      <c r="A662" t="s">
        <v>505</v>
      </c>
      <c r="B662">
        <v>2008</v>
      </c>
      <c r="C662">
        <v>64</v>
      </c>
      <c r="D662">
        <v>1</v>
      </c>
      <c r="E662" s="3">
        <v>-0.83799999999999997</v>
      </c>
      <c r="F662" s="3"/>
      <c r="G662" s="3"/>
      <c r="H662" s="3"/>
      <c r="I662" s="3">
        <v>-1.1499999999999999</v>
      </c>
      <c r="J662">
        <v>7</v>
      </c>
      <c r="K662">
        <v>1</v>
      </c>
      <c r="L662">
        <v>0</v>
      </c>
      <c r="M662">
        <v>0</v>
      </c>
      <c r="N662" s="3"/>
    </row>
    <row r="663" spans="1:14" x14ac:dyDescent="0.2">
      <c r="A663" t="s">
        <v>425</v>
      </c>
      <c r="B663">
        <v>2008</v>
      </c>
      <c r="C663">
        <v>64</v>
      </c>
      <c r="D663">
        <v>1</v>
      </c>
      <c r="E663" s="3">
        <v>-3.5350999999999999</v>
      </c>
      <c r="F663" s="3"/>
      <c r="G663" s="3"/>
      <c r="H663" s="3"/>
      <c r="I663" s="3">
        <v>-2.25</v>
      </c>
      <c r="J663">
        <v>-5</v>
      </c>
      <c r="K663">
        <v>0</v>
      </c>
      <c r="L663">
        <v>0</v>
      </c>
      <c r="M663">
        <v>0</v>
      </c>
      <c r="N663" s="3"/>
    </row>
    <row r="664" spans="1:14" x14ac:dyDescent="0.2">
      <c r="A664" t="s">
        <v>507</v>
      </c>
      <c r="B664">
        <v>2008</v>
      </c>
      <c r="C664">
        <v>32</v>
      </c>
      <c r="D664">
        <v>8</v>
      </c>
      <c r="E664" s="3">
        <v>12.48</v>
      </c>
      <c r="F664" s="3"/>
      <c r="G664" s="3"/>
      <c r="H664" s="3"/>
      <c r="I664" s="3">
        <v>0.57999999999999996</v>
      </c>
      <c r="J664">
        <v>31</v>
      </c>
      <c r="K664">
        <v>1</v>
      </c>
      <c r="L664">
        <v>0</v>
      </c>
      <c r="M664">
        <v>0</v>
      </c>
      <c r="N664" s="3"/>
    </row>
    <row r="665" spans="1:14" x14ac:dyDescent="0.2">
      <c r="A665" t="s">
        <v>510</v>
      </c>
      <c r="B665">
        <v>2008</v>
      </c>
      <c r="C665">
        <v>32</v>
      </c>
      <c r="D665">
        <v>8</v>
      </c>
      <c r="E665" s="3">
        <v>10.93</v>
      </c>
      <c r="F665" s="3"/>
      <c r="G665" s="3"/>
      <c r="H665" s="3"/>
      <c r="I665" s="3">
        <v>2.1</v>
      </c>
      <c r="J665">
        <v>2</v>
      </c>
      <c r="K665">
        <v>1</v>
      </c>
      <c r="L665">
        <v>0</v>
      </c>
      <c r="M665">
        <v>0</v>
      </c>
      <c r="N665" s="3"/>
    </row>
    <row r="666" spans="1:14" x14ac:dyDescent="0.2">
      <c r="A666" t="s">
        <v>516</v>
      </c>
      <c r="B666">
        <v>2008</v>
      </c>
      <c r="C666">
        <v>32</v>
      </c>
      <c r="D666">
        <v>8</v>
      </c>
      <c r="E666" s="3">
        <v>7.46</v>
      </c>
      <c r="F666" s="3"/>
      <c r="G666" s="3"/>
      <c r="H666" s="3"/>
      <c r="I666" s="3">
        <v>3.7</v>
      </c>
      <c r="J666">
        <v>17</v>
      </c>
      <c r="K666">
        <v>1</v>
      </c>
      <c r="L666">
        <v>0</v>
      </c>
      <c r="M666">
        <v>0</v>
      </c>
      <c r="N666" s="3"/>
    </row>
    <row r="667" spans="1:14" x14ac:dyDescent="0.2">
      <c r="A667" t="s">
        <v>512</v>
      </c>
      <c r="B667">
        <v>2008</v>
      </c>
      <c r="C667">
        <v>32</v>
      </c>
      <c r="D667">
        <v>8</v>
      </c>
      <c r="E667" s="3">
        <v>4.96</v>
      </c>
      <c r="F667" s="3"/>
      <c r="G667" s="3"/>
      <c r="H667" s="3"/>
      <c r="I667" s="3">
        <v>-12.16</v>
      </c>
      <c r="J667">
        <v>-4</v>
      </c>
      <c r="K667">
        <v>0</v>
      </c>
      <c r="L667">
        <v>0</v>
      </c>
      <c r="M667">
        <v>0</v>
      </c>
      <c r="N667" s="3"/>
    </row>
    <row r="668" spans="1:14" x14ac:dyDescent="0.2">
      <c r="A668" t="s">
        <v>508</v>
      </c>
      <c r="B668">
        <v>2008</v>
      </c>
      <c r="C668">
        <v>32</v>
      </c>
      <c r="D668">
        <v>7</v>
      </c>
      <c r="E668" s="3">
        <v>20.239999999999998</v>
      </c>
      <c r="F668" s="3"/>
      <c r="G668" s="3"/>
      <c r="H668" s="3"/>
      <c r="I668" s="3">
        <v>0.18</v>
      </c>
      <c r="J668">
        <v>19</v>
      </c>
      <c r="K668">
        <v>1</v>
      </c>
      <c r="L668">
        <v>0</v>
      </c>
      <c r="M668">
        <v>0</v>
      </c>
      <c r="N668" s="3"/>
    </row>
    <row r="669" spans="1:14" x14ac:dyDescent="0.2">
      <c r="A669" t="s">
        <v>509</v>
      </c>
      <c r="B669">
        <v>2008</v>
      </c>
      <c r="C669">
        <v>32</v>
      </c>
      <c r="D669">
        <v>7</v>
      </c>
      <c r="E669" s="3">
        <v>13.36</v>
      </c>
      <c r="F669" s="3"/>
      <c r="G669" s="3"/>
      <c r="H669" s="3"/>
      <c r="I669" s="3">
        <v>7.45</v>
      </c>
      <c r="J669">
        <v>3</v>
      </c>
      <c r="K669">
        <v>1</v>
      </c>
      <c r="L669">
        <v>0</v>
      </c>
      <c r="M669">
        <v>0</v>
      </c>
      <c r="N669" s="3"/>
    </row>
    <row r="670" spans="1:14" x14ac:dyDescent="0.2">
      <c r="A670" t="s">
        <v>513</v>
      </c>
      <c r="B670">
        <v>2008</v>
      </c>
      <c r="C670">
        <v>32</v>
      </c>
      <c r="D670">
        <v>5</v>
      </c>
      <c r="E670" s="3">
        <v>10.18</v>
      </c>
      <c r="F670" s="3"/>
      <c r="G670" s="3"/>
      <c r="H670" s="3"/>
      <c r="I670" s="3">
        <v>5.99</v>
      </c>
      <c r="J670">
        <v>3</v>
      </c>
      <c r="K670">
        <v>1</v>
      </c>
      <c r="L670">
        <v>0</v>
      </c>
      <c r="M670">
        <v>0</v>
      </c>
      <c r="N670" s="3"/>
    </row>
    <row r="671" spans="1:14" x14ac:dyDescent="0.2">
      <c r="A671" t="s">
        <v>514</v>
      </c>
      <c r="B671">
        <v>2008</v>
      </c>
      <c r="C671">
        <v>32</v>
      </c>
      <c r="D671">
        <v>5</v>
      </c>
      <c r="E671" s="3">
        <v>5.65</v>
      </c>
      <c r="F671" s="3"/>
      <c r="G671" s="3"/>
      <c r="H671" s="3"/>
      <c r="I671" s="3">
        <v>6.65</v>
      </c>
      <c r="J671">
        <v>-6</v>
      </c>
      <c r="K671">
        <v>0</v>
      </c>
      <c r="L671">
        <v>0</v>
      </c>
      <c r="M671">
        <v>0</v>
      </c>
      <c r="N671" s="3"/>
    </row>
    <row r="672" spans="1:14" x14ac:dyDescent="0.2">
      <c r="A672" t="s">
        <v>511</v>
      </c>
      <c r="B672">
        <v>2008</v>
      </c>
      <c r="C672">
        <v>32</v>
      </c>
      <c r="D672">
        <v>5</v>
      </c>
      <c r="E672" s="3">
        <v>2.48</v>
      </c>
      <c r="F672" s="3"/>
      <c r="G672" s="3"/>
      <c r="H672" s="3"/>
      <c r="I672" s="3">
        <v>2.93</v>
      </c>
      <c r="J672">
        <v>5</v>
      </c>
      <c r="K672">
        <v>1</v>
      </c>
      <c r="L672">
        <v>0</v>
      </c>
      <c r="M672">
        <v>0</v>
      </c>
      <c r="N672" s="3"/>
    </row>
    <row r="673" spans="1:14" x14ac:dyDescent="0.2">
      <c r="A673" t="s">
        <v>515</v>
      </c>
      <c r="B673">
        <v>2008</v>
      </c>
      <c r="C673">
        <v>32</v>
      </c>
      <c r="D673">
        <v>3</v>
      </c>
      <c r="E673" s="3">
        <v>8.1199999999999992</v>
      </c>
      <c r="F673" s="3"/>
      <c r="G673" s="3"/>
      <c r="H673" s="3"/>
      <c r="I673" s="3">
        <v>1.0900000000000001</v>
      </c>
      <c r="J673">
        <v>30</v>
      </c>
      <c r="K673">
        <v>1</v>
      </c>
      <c r="L673">
        <v>0</v>
      </c>
      <c r="M673">
        <v>0</v>
      </c>
      <c r="N673" s="3"/>
    </row>
    <row r="674" spans="1:14" x14ac:dyDescent="0.2">
      <c r="A674" t="s">
        <v>518</v>
      </c>
      <c r="B674">
        <v>2008</v>
      </c>
      <c r="C674">
        <v>32</v>
      </c>
      <c r="D674">
        <v>3</v>
      </c>
      <c r="E674" s="3">
        <v>4.05</v>
      </c>
      <c r="F674" s="3"/>
      <c r="G674" s="3"/>
      <c r="H674" s="3"/>
      <c r="I674" s="3">
        <v>5.83</v>
      </c>
      <c r="J674">
        <v>7</v>
      </c>
      <c r="K674">
        <v>1</v>
      </c>
      <c r="L674">
        <v>0</v>
      </c>
      <c r="M674">
        <v>0</v>
      </c>
      <c r="N674" s="3"/>
    </row>
    <row r="675" spans="1:14" x14ac:dyDescent="0.2">
      <c r="A675" t="s">
        <v>517</v>
      </c>
      <c r="B675">
        <v>2008</v>
      </c>
      <c r="C675">
        <v>32</v>
      </c>
      <c r="D675">
        <v>3</v>
      </c>
      <c r="E675" s="3">
        <v>2.16</v>
      </c>
      <c r="F675" s="3"/>
      <c r="G675" s="3"/>
      <c r="H675" s="3"/>
      <c r="I675" s="3">
        <v>-2.08</v>
      </c>
      <c r="J675">
        <v>1</v>
      </c>
      <c r="K675">
        <v>1</v>
      </c>
      <c r="L675">
        <v>0</v>
      </c>
      <c r="M675">
        <v>0</v>
      </c>
      <c r="N675" s="3"/>
    </row>
    <row r="676" spans="1:14" x14ac:dyDescent="0.2">
      <c r="A676" t="s">
        <v>522</v>
      </c>
      <c r="B676">
        <v>2008</v>
      </c>
      <c r="C676">
        <v>32</v>
      </c>
      <c r="D676">
        <v>1</v>
      </c>
      <c r="E676" s="3">
        <v>9.52</v>
      </c>
      <c r="F676" s="3"/>
      <c r="G676" s="3"/>
      <c r="H676" s="3"/>
      <c r="I676" s="3">
        <v>-0.93</v>
      </c>
      <c r="J676">
        <v>9</v>
      </c>
      <c r="K676">
        <v>1</v>
      </c>
      <c r="L676">
        <v>0</v>
      </c>
      <c r="M676">
        <v>0</v>
      </c>
      <c r="N676" s="3"/>
    </row>
    <row r="677" spans="1:14" x14ac:dyDescent="0.2">
      <c r="A677" t="s">
        <v>521</v>
      </c>
      <c r="B677">
        <v>2008</v>
      </c>
      <c r="C677">
        <v>32</v>
      </c>
      <c r="D677">
        <v>1</v>
      </c>
      <c r="E677" s="3">
        <v>5.61</v>
      </c>
      <c r="F677" s="3"/>
      <c r="G677" s="3"/>
      <c r="H677" s="3"/>
      <c r="I677" s="3">
        <v>-3.85</v>
      </c>
      <c r="J677">
        <v>12</v>
      </c>
      <c r="K677">
        <v>1</v>
      </c>
      <c r="L677">
        <v>0</v>
      </c>
      <c r="M677">
        <v>0</v>
      </c>
      <c r="N677" s="3"/>
    </row>
    <row r="678" spans="1:14" x14ac:dyDescent="0.2">
      <c r="A678" t="s">
        <v>519</v>
      </c>
      <c r="B678">
        <v>2008</v>
      </c>
      <c r="C678">
        <v>32</v>
      </c>
      <c r="D678">
        <v>1</v>
      </c>
      <c r="E678" s="3">
        <v>4.7699999999999996</v>
      </c>
      <c r="F678" s="3"/>
      <c r="G678" s="3"/>
      <c r="H678" s="3"/>
      <c r="I678" s="3">
        <v>-1.79</v>
      </c>
      <c r="J678">
        <v>20</v>
      </c>
      <c r="K678">
        <v>1</v>
      </c>
      <c r="L678">
        <v>0</v>
      </c>
      <c r="M678">
        <v>0</v>
      </c>
      <c r="N678" s="3"/>
    </row>
    <row r="679" spans="1:14" x14ac:dyDescent="0.2">
      <c r="A679" t="s">
        <v>520</v>
      </c>
      <c r="B679">
        <v>2008</v>
      </c>
      <c r="C679">
        <v>32</v>
      </c>
      <c r="D679">
        <v>1</v>
      </c>
      <c r="E679" s="3">
        <v>-0.55000000000000004</v>
      </c>
      <c r="F679" s="3"/>
      <c r="G679" s="3"/>
      <c r="H679" s="3"/>
      <c r="I679" s="3">
        <v>-2.5</v>
      </c>
      <c r="J679">
        <v>-11</v>
      </c>
      <c r="K679">
        <v>0</v>
      </c>
      <c r="L679">
        <v>0</v>
      </c>
      <c r="M679">
        <v>0</v>
      </c>
      <c r="N679" s="3"/>
    </row>
    <row r="680" spans="1:14" x14ac:dyDescent="0.2">
      <c r="A680" t="s">
        <v>524</v>
      </c>
      <c r="B680">
        <v>2008</v>
      </c>
      <c r="C680">
        <v>16</v>
      </c>
      <c r="D680">
        <v>11</v>
      </c>
      <c r="E680" s="3">
        <v>20.28</v>
      </c>
      <c r="F680" s="3"/>
      <c r="G680" s="3"/>
      <c r="H680" s="3"/>
      <c r="I680" s="3">
        <v>2.27</v>
      </c>
      <c r="J680">
        <v>15</v>
      </c>
      <c r="K680">
        <v>1</v>
      </c>
      <c r="L680">
        <v>0</v>
      </c>
      <c r="M680">
        <v>0</v>
      </c>
      <c r="N680" s="3"/>
    </row>
    <row r="681" spans="1:14" x14ac:dyDescent="0.2">
      <c r="A681" t="s">
        <v>526</v>
      </c>
      <c r="B681">
        <v>2008</v>
      </c>
      <c r="C681">
        <v>16</v>
      </c>
      <c r="D681">
        <v>11</v>
      </c>
      <c r="E681" s="3">
        <v>15.79</v>
      </c>
      <c r="F681" s="3"/>
      <c r="G681" s="3"/>
      <c r="H681" s="3"/>
      <c r="I681" s="3">
        <v>0.38</v>
      </c>
      <c r="J681">
        <v>10</v>
      </c>
      <c r="K681">
        <v>1</v>
      </c>
      <c r="L681">
        <v>0</v>
      </c>
      <c r="M681">
        <v>0</v>
      </c>
      <c r="N681" s="3"/>
    </row>
    <row r="682" spans="1:14" x14ac:dyDescent="0.2">
      <c r="A682" t="s">
        <v>529</v>
      </c>
      <c r="B682">
        <v>2008</v>
      </c>
      <c r="C682">
        <v>16</v>
      </c>
      <c r="D682">
        <v>7</v>
      </c>
      <c r="E682" s="3">
        <v>6.81</v>
      </c>
      <c r="F682" s="3"/>
      <c r="G682" s="3"/>
      <c r="H682" s="3"/>
      <c r="I682" s="3">
        <v>-8.57</v>
      </c>
      <c r="J682">
        <v>-17</v>
      </c>
      <c r="K682">
        <v>0</v>
      </c>
      <c r="L682">
        <v>0</v>
      </c>
      <c r="M682">
        <v>0</v>
      </c>
      <c r="N682" s="3"/>
    </row>
    <row r="683" spans="1:14" x14ac:dyDescent="0.2">
      <c r="A683" t="s">
        <v>525</v>
      </c>
      <c r="B683">
        <v>2008</v>
      </c>
      <c r="C683">
        <v>16</v>
      </c>
      <c r="D683">
        <v>4</v>
      </c>
      <c r="E683" s="3">
        <v>7.41</v>
      </c>
      <c r="F683" s="3"/>
      <c r="G683" s="3"/>
      <c r="H683" s="3"/>
      <c r="I683" s="3">
        <v>4.1900000000000004</v>
      </c>
      <c r="J683">
        <v>18</v>
      </c>
      <c r="K683">
        <v>1</v>
      </c>
      <c r="L683">
        <v>0</v>
      </c>
      <c r="M683">
        <v>0</v>
      </c>
      <c r="N683" s="3"/>
    </row>
    <row r="684" spans="1:14" x14ac:dyDescent="0.2">
      <c r="A684" t="s">
        <v>530</v>
      </c>
      <c r="B684">
        <v>2008</v>
      </c>
      <c r="C684">
        <v>16</v>
      </c>
      <c r="D684">
        <v>4</v>
      </c>
      <c r="E684" s="3">
        <v>1.28</v>
      </c>
      <c r="F684" s="3"/>
      <c r="G684" s="3"/>
      <c r="H684" s="3"/>
      <c r="I684" s="3">
        <v>6.43</v>
      </c>
      <c r="J684">
        <v>4</v>
      </c>
      <c r="K684">
        <v>1</v>
      </c>
      <c r="L684">
        <v>0</v>
      </c>
      <c r="M684">
        <v>0</v>
      </c>
      <c r="N684" s="3"/>
    </row>
    <row r="685" spans="1:14" x14ac:dyDescent="0.2">
      <c r="A685" t="s">
        <v>523</v>
      </c>
      <c r="B685">
        <v>2008</v>
      </c>
      <c r="C685">
        <v>16</v>
      </c>
      <c r="D685">
        <v>3</v>
      </c>
      <c r="E685" s="3">
        <v>3.8</v>
      </c>
      <c r="F685" s="3"/>
      <c r="G685" s="3"/>
      <c r="H685" s="3"/>
      <c r="I685" s="3">
        <v>7.51</v>
      </c>
      <c r="J685">
        <v>21</v>
      </c>
      <c r="K685">
        <v>1</v>
      </c>
      <c r="L685">
        <v>0</v>
      </c>
      <c r="M685">
        <v>0</v>
      </c>
      <c r="N685" s="3"/>
    </row>
    <row r="686" spans="1:14" x14ac:dyDescent="0.2">
      <c r="A686" t="s">
        <v>528</v>
      </c>
      <c r="B686">
        <v>2008</v>
      </c>
      <c r="C686">
        <v>16</v>
      </c>
      <c r="D686">
        <v>1</v>
      </c>
      <c r="E686" s="3">
        <v>0.6</v>
      </c>
      <c r="F686" s="3"/>
      <c r="G686" s="3"/>
      <c r="H686" s="3"/>
      <c r="I686" s="3">
        <v>6.92</v>
      </c>
      <c r="J686">
        <v>20</v>
      </c>
      <c r="K686">
        <v>1</v>
      </c>
      <c r="L686">
        <v>0</v>
      </c>
      <c r="M686">
        <v>0</v>
      </c>
      <c r="N686" s="3"/>
    </row>
    <row r="687" spans="1:14" x14ac:dyDescent="0.2">
      <c r="A687" t="s">
        <v>527</v>
      </c>
      <c r="B687">
        <v>2008</v>
      </c>
      <c r="C687">
        <v>16</v>
      </c>
      <c r="D687">
        <v>1</v>
      </c>
      <c r="E687" s="3">
        <v>-1.92</v>
      </c>
      <c r="F687" s="3"/>
      <c r="G687" s="3"/>
      <c r="H687" s="3"/>
      <c r="I687" s="3">
        <v>5.26</v>
      </c>
      <c r="J687">
        <v>-19</v>
      </c>
      <c r="K687">
        <v>0</v>
      </c>
      <c r="L687">
        <v>0</v>
      </c>
      <c r="M687">
        <v>0</v>
      </c>
      <c r="N687" s="3"/>
    </row>
    <row r="688" spans="1:14" x14ac:dyDescent="0.2">
      <c r="A688" t="s">
        <v>532</v>
      </c>
      <c r="B688">
        <v>2008</v>
      </c>
      <c r="C688">
        <v>8</v>
      </c>
      <c r="D688">
        <v>9</v>
      </c>
      <c r="E688" s="3">
        <v>11.4</v>
      </c>
      <c r="F688" s="3"/>
      <c r="G688" s="3"/>
      <c r="H688" s="3"/>
      <c r="I688" s="3">
        <v>-10.23</v>
      </c>
      <c r="J688">
        <v>2</v>
      </c>
      <c r="K688">
        <v>1</v>
      </c>
      <c r="L688">
        <v>0</v>
      </c>
      <c r="M688">
        <v>0</v>
      </c>
      <c r="N688" s="3"/>
    </row>
    <row r="689" spans="1:14" x14ac:dyDescent="0.2">
      <c r="A689" t="s">
        <v>534</v>
      </c>
      <c r="B689">
        <v>2008</v>
      </c>
      <c r="C689">
        <v>8</v>
      </c>
      <c r="D689">
        <v>2</v>
      </c>
      <c r="E689" s="3">
        <v>6.94</v>
      </c>
      <c r="F689" s="3"/>
      <c r="G689" s="3"/>
      <c r="H689" s="3"/>
      <c r="I689" s="3">
        <v>-3.81</v>
      </c>
      <c r="J689">
        <v>19</v>
      </c>
      <c r="K689">
        <v>1</v>
      </c>
      <c r="L689">
        <v>0</v>
      </c>
      <c r="M689">
        <v>0</v>
      </c>
      <c r="N689" s="3"/>
    </row>
    <row r="690" spans="1:14" x14ac:dyDescent="0.2">
      <c r="A690" t="s">
        <v>531</v>
      </c>
      <c r="B690">
        <v>2008</v>
      </c>
      <c r="C690">
        <v>8</v>
      </c>
      <c r="D690">
        <v>2</v>
      </c>
      <c r="E690" s="3">
        <v>4.71</v>
      </c>
      <c r="F690" s="3"/>
      <c r="G690" s="3"/>
      <c r="H690" s="3"/>
      <c r="I690" s="3">
        <v>-0.61</v>
      </c>
      <c r="J690">
        <v>10</v>
      </c>
      <c r="K690">
        <v>1</v>
      </c>
      <c r="L690">
        <v>0</v>
      </c>
      <c r="M690">
        <v>0</v>
      </c>
      <c r="N690" s="3"/>
    </row>
    <row r="691" spans="1:14" x14ac:dyDescent="0.2">
      <c r="A691" t="s">
        <v>533</v>
      </c>
      <c r="B691">
        <v>2008</v>
      </c>
      <c r="C691">
        <v>8</v>
      </c>
      <c r="D691">
        <v>1</v>
      </c>
      <c r="E691" s="3">
        <v>4.33</v>
      </c>
      <c r="F691" s="3"/>
      <c r="G691" s="3"/>
      <c r="H691" s="3"/>
      <c r="I691" s="3">
        <v>8.09</v>
      </c>
      <c r="J691">
        <v>19</v>
      </c>
      <c r="K691">
        <v>1</v>
      </c>
      <c r="L691">
        <v>0</v>
      </c>
      <c r="M691">
        <v>0</v>
      </c>
      <c r="N691" s="3"/>
    </row>
    <row r="692" spans="1:14" x14ac:dyDescent="0.2">
      <c r="A692" t="s">
        <v>536</v>
      </c>
      <c r="B692">
        <v>2008</v>
      </c>
      <c r="C692">
        <v>4</v>
      </c>
      <c r="D692">
        <v>0</v>
      </c>
      <c r="E692" s="3">
        <v>0.12</v>
      </c>
      <c r="F692" s="3"/>
      <c r="G692" s="3"/>
      <c r="H692" s="3"/>
      <c r="I692" s="3">
        <v>5.99</v>
      </c>
      <c r="J692">
        <v>15</v>
      </c>
      <c r="K692">
        <v>1</v>
      </c>
      <c r="L692">
        <v>0</v>
      </c>
      <c r="M692">
        <v>0</v>
      </c>
      <c r="N692" s="3"/>
    </row>
    <row r="693" spans="1:14" x14ac:dyDescent="0.2">
      <c r="A693" t="s">
        <v>535</v>
      </c>
      <c r="B693">
        <v>2008</v>
      </c>
      <c r="C693">
        <v>4</v>
      </c>
      <c r="D693">
        <v>0</v>
      </c>
      <c r="E693" s="3">
        <v>-3.28</v>
      </c>
      <c r="F693" s="3"/>
      <c r="G693" s="3"/>
      <c r="H693" s="3"/>
      <c r="I693" s="3">
        <v>0.92</v>
      </c>
      <c r="J693">
        <v>-18</v>
      </c>
      <c r="K693">
        <v>0</v>
      </c>
      <c r="L693">
        <v>0</v>
      </c>
      <c r="M693">
        <v>0</v>
      </c>
      <c r="N693" s="3"/>
    </row>
    <row r="694" spans="1:14" x14ac:dyDescent="0.2">
      <c r="A694" t="s">
        <v>1323</v>
      </c>
      <c r="B694">
        <v>2008</v>
      </c>
      <c r="C694">
        <v>2</v>
      </c>
      <c r="D694">
        <v>0</v>
      </c>
      <c r="E694" s="3">
        <v>-3.15</v>
      </c>
      <c r="F694" s="3"/>
      <c r="G694" s="3"/>
      <c r="H694" s="3"/>
      <c r="I694" s="3">
        <v>5.85</v>
      </c>
      <c r="J694">
        <v>-7</v>
      </c>
      <c r="K694">
        <v>0</v>
      </c>
      <c r="L694">
        <v>0</v>
      </c>
      <c r="M694">
        <v>0</v>
      </c>
      <c r="N694" s="3"/>
    </row>
    <row r="695" spans="1:14" x14ac:dyDescent="0.2">
      <c r="A695" t="s">
        <v>555</v>
      </c>
      <c r="B695">
        <v>2007</v>
      </c>
      <c r="C695">
        <v>64</v>
      </c>
      <c r="D695">
        <v>15</v>
      </c>
      <c r="E695" s="3">
        <v>34.539479999999998</v>
      </c>
      <c r="F695" s="3"/>
      <c r="G695" s="3"/>
      <c r="H695" s="3"/>
      <c r="I695" s="3">
        <v>2.94</v>
      </c>
      <c r="J695">
        <v>21</v>
      </c>
      <c r="K695">
        <v>1</v>
      </c>
      <c r="L695">
        <v>0.99260000000000004</v>
      </c>
      <c r="M695">
        <v>0</v>
      </c>
      <c r="N695" s="3"/>
    </row>
    <row r="696" spans="1:14" x14ac:dyDescent="0.2">
      <c r="A696" t="s">
        <v>553</v>
      </c>
      <c r="B696">
        <v>2007</v>
      </c>
      <c r="C696">
        <v>64</v>
      </c>
      <c r="D696">
        <v>15</v>
      </c>
      <c r="E696" s="3">
        <v>38.181429999999999</v>
      </c>
      <c r="F696" s="3"/>
      <c r="G696" s="3"/>
      <c r="H696" s="3"/>
      <c r="I696" s="3">
        <v>-5.91</v>
      </c>
      <c r="J696">
        <v>43</v>
      </c>
      <c r="K696">
        <v>1</v>
      </c>
      <c r="L696">
        <v>0.99719999999999998</v>
      </c>
      <c r="M696">
        <v>0</v>
      </c>
      <c r="N696" s="3"/>
    </row>
    <row r="697" spans="1:14" x14ac:dyDescent="0.2">
      <c r="A697" t="s">
        <v>1001</v>
      </c>
      <c r="B697">
        <v>2007</v>
      </c>
      <c r="C697">
        <v>64</v>
      </c>
      <c r="D697">
        <v>15</v>
      </c>
      <c r="E697" s="3">
        <v>30.890029999999999</v>
      </c>
      <c r="F697" s="3"/>
      <c r="G697" s="3"/>
      <c r="H697" s="3"/>
      <c r="I697" s="3">
        <v>7.69</v>
      </c>
      <c r="J697">
        <v>21</v>
      </c>
      <c r="K697">
        <v>1</v>
      </c>
      <c r="L697">
        <v>0.98619999999999997</v>
      </c>
      <c r="M697">
        <v>0</v>
      </c>
      <c r="N697" s="3"/>
    </row>
    <row r="698" spans="1:14" x14ac:dyDescent="0.2">
      <c r="A698" t="s">
        <v>554</v>
      </c>
      <c r="B698">
        <v>2007</v>
      </c>
      <c r="C698">
        <v>64</v>
      </c>
      <c r="D698">
        <v>15</v>
      </c>
      <c r="E698" s="3">
        <v>30.952179999999998</v>
      </c>
      <c r="F698" s="3"/>
      <c r="G698" s="3"/>
      <c r="H698" s="3"/>
      <c r="I698" s="3">
        <v>6.59</v>
      </c>
      <c r="J698">
        <v>40</v>
      </c>
      <c r="K698">
        <v>1</v>
      </c>
      <c r="L698">
        <v>0.9919</v>
      </c>
      <c r="M698">
        <v>0</v>
      </c>
      <c r="N698" s="3"/>
    </row>
    <row r="699" spans="1:14" x14ac:dyDescent="0.2">
      <c r="A699" t="s">
        <v>557</v>
      </c>
      <c r="B699">
        <v>2007</v>
      </c>
      <c r="C699">
        <v>64</v>
      </c>
      <c r="D699">
        <v>13</v>
      </c>
      <c r="E699" s="3">
        <v>27.547450000000001</v>
      </c>
      <c r="F699" s="3"/>
      <c r="G699" s="3"/>
      <c r="H699" s="3"/>
      <c r="I699" s="3">
        <v>8.8800000000000008</v>
      </c>
      <c r="J699">
        <v>28</v>
      </c>
      <c r="K699">
        <v>1</v>
      </c>
      <c r="L699">
        <v>0.98080000000000001</v>
      </c>
      <c r="M699">
        <v>0</v>
      </c>
      <c r="N699" s="3"/>
    </row>
    <row r="700" spans="1:14" x14ac:dyDescent="0.2">
      <c r="A700" t="s">
        <v>559</v>
      </c>
      <c r="B700">
        <v>2007</v>
      </c>
      <c r="C700">
        <v>64</v>
      </c>
      <c r="D700">
        <v>13</v>
      </c>
      <c r="E700" s="3">
        <v>26.120830000000002</v>
      </c>
      <c r="F700" s="3"/>
      <c r="G700" s="3"/>
      <c r="H700" s="3"/>
      <c r="I700" s="3">
        <v>10.050000000000001</v>
      </c>
      <c r="J700">
        <v>15</v>
      </c>
      <c r="K700">
        <v>1</v>
      </c>
      <c r="L700">
        <v>0.98029999999999995</v>
      </c>
      <c r="M700">
        <v>0</v>
      </c>
      <c r="N700" s="3"/>
    </row>
    <row r="701" spans="1:14" x14ac:dyDescent="0.2">
      <c r="A701" t="s">
        <v>558</v>
      </c>
      <c r="B701">
        <v>2007</v>
      </c>
      <c r="C701">
        <v>64</v>
      </c>
      <c r="D701">
        <v>13</v>
      </c>
      <c r="E701" s="3">
        <v>23.41957</v>
      </c>
      <c r="F701" s="3"/>
      <c r="G701" s="3"/>
      <c r="H701" s="3"/>
      <c r="I701" s="3">
        <v>1.1200000000000001</v>
      </c>
      <c r="J701">
        <v>25</v>
      </c>
      <c r="K701">
        <v>1</v>
      </c>
      <c r="L701">
        <v>0.96589999999999998</v>
      </c>
      <c r="M701">
        <v>0</v>
      </c>
      <c r="N701" s="3"/>
    </row>
    <row r="702" spans="1:14" x14ac:dyDescent="0.2">
      <c r="A702" t="s">
        <v>556</v>
      </c>
      <c r="B702">
        <v>2007</v>
      </c>
      <c r="C702">
        <v>64</v>
      </c>
      <c r="D702">
        <v>13</v>
      </c>
      <c r="E702" s="3">
        <v>18.31549</v>
      </c>
      <c r="F702" s="3"/>
      <c r="G702" s="3"/>
      <c r="H702" s="3"/>
      <c r="I702" s="3">
        <v>0.61</v>
      </c>
      <c r="J702">
        <v>13</v>
      </c>
      <c r="K702">
        <v>1</v>
      </c>
      <c r="L702">
        <v>0.95909999999999995</v>
      </c>
      <c r="M702">
        <v>0</v>
      </c>
      <c r="N702" s="3"/>
    </row>
    <row r="703" spans="1:14" x14ac:dyDescent="0.2">
      <c r="A703" t="s">
        <v>566</v>
      </c>
      <c r="B703">
        <v>2007</v>
      </c>
      <c r="C703">
        <v>64</v>
      </c>
      <c r="D703">
        <v>11</v>
      </c>
      <c r="E703" s="3">
        <v>15.81982</v>
      </c>
      <c r="F703" s="3"/>
      <c r="G703" s="3"/>
      <c r="H703" s="3"/>
      <c r="I703" s="3">
        <v>6.46</v>
      </c>
      <c r="J703">
        <v>21</v>
      </c>
      <c r="K703">
        <v>1</v>
      </c>
      <c r="L703">
        <v>0.89710000000000001</v>
      </c>
      <c r="M703">
        <v>0</v>
      </c>
      <c r="N703" s="3"/>
    </row>
    <row r="704" spans="1:14" x14ac:dyDescent="0.2">
      <c r="A704" t="s">
        <v>578</v>
      </c>
      <c r="B704">
        <v>2007</v>
      </c>
      <c r="C704">
        <v>64</v>
      </c>
      <c r="D704">
        <v>11</v>
      </c>
      <c r="E704" s="3">
        <v>19.15269</v>
      </c>
      <c r="F704" s="3"/>
      <c r="G704" s="3"/>
      <c r="H704" s="3"/>
      <c r="I704" s="3">
        <v>-3.52</v>
      </c>
      <c r="J704">
        <v>16</v>
      </c>
      <c r="K704">
        <v>1</v>
      </c>
      <c r="L704">
        <v>0.95069999999999999</v>
      </c>
      <c r="M704">
        <v>0</v>
      </c>
      <c r="N704" s="3"/>
    </row>
    <row r="705" spans="1:14" x14ac:dyDescent="0.2">
      <c r="A705" t="s">
        <v>572</v>
      </c>
      <c r="B705">
        <v>2007</v>
      </c>
      <c r="C705">
        <v>64</v>
      </c>
      <c r="D705">
        <v>11</v>
      </c>
      <c r="E705" s="3">
        <v>8.8587199999999999</v>
      </c>
      <c r="F705" s="3"/>
      <c r="G705" s="3"/>
      <c r="H705" s="3"/>
      <c r="I705" s="3">
        <v>4.04</v>
      </c>
      <c r="J705">
        <v>16</v>
      </c>
      <c r="K705">
        <v>1</v>
      </c>
      <c r="L705">
        <v>0.81510000000000005</v>
      </c>
      <c r="M705">
        <v>0</v>
      </c>
      <c r="N705" s="3"/>
    </row>
    <row r="706" spans="1:14" x14ac:dyDescent="0.2">
      <c r="A706" t="s">
        <v>560</v>
      </c>
      <c r="B706">
        <v>2007</v>
      </c>
      <c r="C706">
        <v>64</v>
      </c>
      <c r="D706">
        <v>11</v>
      </c>
      <c r="E706" s="3">
        <v>11.615410000000001</v>
      </c>
      <c r="F706" s="3"/>
      <c r="G706" s="3"/>
      <c r="H706" s="3"/>
      <c r="I706" s="3">
        <v>-10.25</v>
      </c>
      <c r="J706">
        <v>2</v>
      </c>
      <c r="K706">
        <v>1</v>
      </c>
      <c r="L706">
        <v>0.86019999999999996</v>
      </c>
      <c r="M706">
        <v>0</v>
      </c>
      <c r="N706" s="3"/>
    </row>
    <row r="707" spans="1:14" x14ac:dyDescent="0.2">
      <c r="A707" t="s">
        <v>567</v>
      </c>
      <c r="B707">
        <v>2007</v>
      </c>
      <c r="C707">
        <v>64</v>
      </c>
      <c r="D707">
        <v>9</v>
      </c>
      <c r="E707" s="3">
        <v>12.627649999999999</v>
      </c>
      <c r="F707" s="3"/>
      <c r="G707" s="3"/>
      <c r="H707" s="3"/>
      <c r="I707" s="3">
        <v>6.15</v>
      </c>
      <c r="J707">
        <v>10</v>
      </c>
      <c r="K707">
        <v>1</v>
      </c>
      <c r="L707">
        <v>0.82889999999999997</v>
      </c>
      <c r="M707">
        <v>0</v>
      </c>
      <c r="N707" s="3"/>
    </row>
    <row r="708" spans="1:14" x14ac:dyDescent="0.2">
      <c r="A708" t="s">
        <v>573</v>
      </c>
      <c r="B708">
        <v>2007</v>
      </c>
      <c r="C708">
        <v>64</v>
      </c>
      <c r="D708">
        <v>9</v>
      </c>
      <c r="E708" s="3">
        <v>12.999599999999999</v>
      </c>
      <c r="F708" s="3"/>
      <c r="G708" s="3"/>
      <c r="H708" s="3"/>
      <c r="I708" s="3">
        <v>2.44</v>
      </c>
      <c r="J708">
        <v>12</v>
      </c>
      <c r="K708">
        <v>1</v>
      </c>
      <c r="L708">
        <v>0.88429999999999997</v>
      </c>
      <c r="M708">
        <v>0</v>
      </c>
      <c r="N708" s="3"/>
    </row>
    <row r="709" spans="1:14" x14ac:dyDescent="0.2">
      <c r="A709" t="s">
        <v>579</v>
      </c>
      <c r="B709">
        <v>2007</v>
      </c>
      <c r="C709">
        <v>64</v>
      </c>
      <c r="D709">
        <v>9</v>
      </c>
      <c r="E709" s="3">
        <v>10.820180000000001</v>
      </c>
      <c r="F709" s="3"/>
      <c r="G709" s="3"/>
      <c r="H709" s="3"/>
      <c r="I709" s="3">
        <v>0.37</v>
      </c>
      <c r="J709">
        <v>27</v>
      </c>
      <c r="K709">
        <v>1</v>
      </c>
      <c r="L709">
        <v>0.89610000000000001</v>
      </c>
      <c r="M709">
        <v>0</v>
      </c>
      <c r="N709" s="3"/>
    </row>
    <row r="710" spans="1:14" x14ac:dyDescent="0.2">
      <c r="A710" t="s">
        <v>561</v>
      </c>
      <c r="B710">
        <v>2007</v>
      </c>
      <c r="C710">
        <v>64</v>
      </c>
      <c r="D710">
        <v>9</v>
      </c>
      <c r="E710" s="3">
        <v>8.7073999999999998</v>
      </c>
      <c r="F710" s="3"/>
      <c r="G710" s="3"/>
      <c r="H710" s="3"/>
      <c r="I710" s="3">
        <v>-3.39</v>
      </c>
      <c r="J710">
        <v>12</v>
      </c>
      <c r="K710">
        <v>1</v>
      </c>
      <c r="L710">
        <v>0.86419999999999997</v>
      </c>
      <c r="M710">
        <v>0</v>
      </c>
      <c r="N710" s="3"/>
    </row>
    <row r="711" spans="1:14" x14ac:dyDescent="0.2">
      <c r="A711" t="s">
        <v>580</v>
      </c>
      <c r="B711">
        <v>2007</v>
      </c>
      <c r="C711">
        <v>64</v>
      </c>
      <c r="D711">
        <v>7</v>
      </c>
      <c r="E711" s="3">
        <v>10.067030000000001</v>
      </c>
      <c r="F711" s="3"/>
      <c r="G711" s="3"/>
      <c r="H711" s="3"/>
      <c r="I711" s="3">
        <v>8.51</v>
      </c>
      <c r="J711">
        <v>35</v>
      </c>
      <c r="K711">
        <v>1</v>
      </c>
      <c r="L711">
        <v>0.874</v>
      </c>
      <c r="M711">
        <v>0</v>
      </c>
      <c r="N711" s="3"/>
    </row>
    <row r="712" spans="1:14" x14ac:dyDescent="0.2">
      <c r="A712" t="s">
        <v>562</v>
      </c>
      <c r="B712">
        <v>2007</v>
      </c>
      <c r="C712">
        <v>64</v>
      </c>
      <c r="D712">
        <v>7</v>
      </c>
      <c r="E712" s="3">
        <v>7.6973000000000003</v>
      </c>
      <c r="F712" s="3"/>
      <c r="G712" s="3"/>
      <c r="H712" s="3"/>
      <c r="I712" s="3">
        <v>5.87</v>
      </c>
      <c r="J712">
        <v>11</v>
      </c>
      <c r="K712">
        <v>1</v>
      </c>
      <c r="L712">
        <v>0.72389999999999999</v>
      </c>
      <c r="M712">
        <v>0</v>
      </c>
      <c r="N712" s="3"/>
    </row>
    <row r="713" spans="1:14" x14ac:dyDescent="0.2">
      <c r="A713" t="s">
        <v>568</v>
      </c>
      <c r="B713">
        <v>2007</v>
      </c>
      <c r="C713">
        <v>64</v>
      </c>
      <c r="D713">
        <v>7</v>
      </c>
      <c r="E713" s="3">
        <v>0.31359999999999999</v>
      </c>
      <c r="F713" s="3"/>
      <c r="G713" s="3"/>
      <c r="H713" s="3"/>
      <c r="I713" s="3">
        <v>-1.45</v>
      </c>
      <c r="J713">
        <v>2</v>
      </c>
      <c r="K713">
        <v>1</v>
      </c>
      <c r="L713">
        <v>0.49299999999999999</v>
      </c>
      <c r="M713">
        <v>0</v>
      </c>
      <c r="N713" s="3"/>
    </row>
    <row r="714" spans="1:14" x14ac:dyDescent="0.2">
      <c r="A714" t="s">
        <v>574</v>
      </c>
      <c r="B714">
        <v>2007</v>
      </c>
      <c r="C714">
        <v>64</v>
      </c>
      <c r="D714">
        <v>7</v>
      </c>
      <c r="E714" s="3">
        <v>-2.4853999999999998</v>
      </c>
      <c r="F714" s="3"/>
      <c r="G714" s="3"/>
      <c r="H714" s="3"/>
      <c r="I714" s="3">
        <v>-6.26</v>
      </c>
      <c r="J714">
        <v>17</v>
      </c>
      <c r="K714">
        <v>1</v>
      </c>
      <c r="L714">
        <v>0.44819999999999999</v>
      </c>
      <c r="M714">
        <v>0</v>
      </c>
      <c r="N714" s="3"/>
    </row>
    <row r="715" spans="1:14" x14ac:dyDescent="0.2">
      <c r="A715" t="s">
        <v>569</v>
      </c>
      <c r="B715">
        <v>2007</v>
      </c>
      <c r="C715">
        <v>64</v>
      </c>
      <c r="D715">
        <v>5</v>
      </c>
      <c r="E715" s="3">
        <v>9.2738999999999994</v>
      </c>
      <c r="F715" s="3"/>
      <c r="G715" s="3"/>
      <c r="H715" s="3"/>
      <c r="I715" s="3">
        <v>6.64</v>
      </c>
      <c r="J715">
        <v>-2</v>
      </c>
      <c r="K715">
        <v>0</v>
      </c>
      <c r="L715">
        <v>0.86209999999999998</v>
      </c>
      <c r="M715">
        <v>0</v>
      </c>
      <c r="N715" s="3"/>
    </row>
    <row r="716" spans="1:14" x14ac:dyDescent="0.2">
      <c r="A716" t="s">
        <v>575</v>
      </c>
      <c r="B716">
        <v>2007</v>
      </c>
      <c r="C716">
        <v>64</v>
      </c>
      <c r="D716">
        <v>5</v>
      </c>
      <c r="E716" s="3">
        <v>5.0088900000000001</v>
      </c>
      <c r="F716" s="3"/>
      <c r="G716" s="3"/>
      <c r="H716" s="3"/>
      <c r="I716" s="3">
        <v>4.0199999999999996</v>
      </c>
      <c r="J716">
        <v>33</v>
      </c>
      <c r="K716">
        <v>1</v>
      </c>
      <c r="L716">
        <v>0.7157</v>
      </c>
      <c r="M716">
        <v>0</v>
      </c>
      <c r="N716" s="3"/>
    </row>
    <row r="717" spans="1:14" x14ac:dyDescent="0.2">
      <c r="A717" t="s">
        <v>581</v>
      </c>
      <c r="B717">
        <v>2007</v>
      </c>
      <c r="C717">
        <v>64</v>
      </c>
      <c r="D717">
        <v>5</v>
      </c>
      <c r="E717" s="3">
        <v>7.1051000000000002</v>
      </c>
      <c r="F717" s="3"/>
      <c r="G717" s="3"/>
      <c r="H717" s="3"/>
      <c r="I717" s="3">
        <v>-1.74</v>
      </c>
      <c r="J717">
        <v>20</v>
      </c>
      <c r="K717">
        <v>1</v>
      </c>
      <c r="L717">
        <v>0.71809999999999996</v>
      </c>
      <c r="M717">
        <v>0</v>
      </c>
      <c r="N717" s="3"/>
    </row>
    <row r="718" spans="1:14" x14ac:dyDescent="0.2">
      <c r="A718" t="s">
        <v>563</v>
      </c>
      <c r="B718">
        <v>2007</v>
      </c>
      <c r="C718">
        <v>64</v>
      </c>
      <c r="D718">
        <v>5</v>
      </c>
      <c r="E718" s="3">
        <v>6.0277000000000003</v>
      </c>
      <c r="F718" s="3"/>
      <c r="G718" s="3"/>
      <c r="H718" s="3"/>
      <c r="I718" s="3">
        <v>-18.43</v>
      </c>
      <c r="J718">
        <v>-10</v>
      </c>
      <c r="K718">
        <v>0</v>
      </c>
      <c r="L718">
        <v>0.80300000000000005</v>
      </c>
      <c r="M718">
        <v>0</v>
      </c>
      <c r="N718" s="3"/>
    </row>
    <row r="719" spans="1:14" x14ac:dyDescent="0.2">
      <c r="A719" t="s">
        <v>576</v>
      </c>
      <c r="B719">
        <v>2007</v>
      </c>
      <c r="C719">
        <v>64</v>
      </c>
      <c r="D719">
        <v>3</v>
      </c>
      <c r="E719" s="3">
        <v>4.2732000000000001</v>
      </c>
      <c r="F719" s="3"/>
      <c r="G719" s="3"/>
      <c r="H719" s="3"/>
      <c r="I719" s="3">
        <v>-1.95</v>
      </c>
      <c r="J719">
        <v>9</v>
      </c>
      <c r="K719">
        <v>1</v>
      </c>
      <c r="L719">
        <v>0.64900000000000002</v>
      </c>
      <c r="M719">
        <v>0</v>
      </c>
      <c r="N719" s="3"/>
    </row>
    <row r="720" spans="1:14" x14ac:dyDescent="0.2">
      <c r="A720" t="s">
        <v>570</v>
      </c>
      <c r="B720">
        <v>2007</v>
      </c>
      <c r="C720">
        <v>64</v>
      </c>
      <c r="D720">
        <v>3</v>
      </c>
      <c r="E720" s="3">
        <v>5.2812000000000001</v>
      </c>
      <c r="F720" s="3"/>
      <c r="G720" s="3"/>
      <c r="H720" s="3"/>
      <c r="I720" s="3">
        <v>-6.31</v>
      </c>
      <c r="J720">
        <v>13</v>
      </c>
      <c r="K720">
        <v>1</v>
      </c>
      <c r="L720">
        <v>0.7117</v>
      </c>
      <c r="M720">
        <v>0</v>
      </c>
      <c r="N720" s="3"/>
    </row>
    <row r="721" spans="1:14" x14ac:dyDescent="0.2">
      <c r="A721" t="s">
        <v>564</v>
      </c>
      <c r="B721">
        <v>2007</v>
      </c>
      <c r="C721">
        <v>64</v>
      </c>
      <c r="D721">
        <v>3</v>
      </c>
      <c r="E721" s="3">
        <v>-4.0971000000000002</v>
      </c>
      <c r="F721" s="3"/>
      <c r="G721" s="3"/>
      <c r="H721" s="3"/>
      <c r="I721" s="3">
        <v>2.63</v>
      </c>
      <c r="J721">
        <v>4</v>
      </c>
      <c r="K721">
        <v>1</v>
      </c>
      <c r="L721">
        <v>0.30049999999999999</v>
      </c>
      <c r="M721">
        <v>0</v>
      </c>
      <c r="N721" s="3"/>
    </row>
    <row r="722" spans="1:14" x14ac:dyDescent="0.2">
      <c r="A722" t="s">
        <v>582</v>
      </c>
      <c r="B722">
        <v>2007</v>
      </c>
      <c r="C722">
        <v>64</v>
      </c>
      <c r="D722">
        <v>3</v>
      </c>
      <c r="E722" s="3">
        <v>-2.8873000000000002</v>
      </c>
      <c r="F722" s="3"/>
      <c r="G722" s="3"/>
      <c r="H722" s="3"/>
      <c r="I722" s="3">
        <v>-1.61</v>
      </c>
      <c r="J722">
        <v>6</v>
      </c>
      <c r="K722">
        <v>1</v>
      </c>
      <c r="L722">
        <v>0.3271</v>
      </c>
      <c r="M722">
        <v>0</v>
      </c>
      <c r="N722" s="3"/>
    </row>
    <row r="723" spans="1:14" x14ac:dyDescent="0.2">
      <c r="A723" t="s">
        <v>565</v>
      </c>
      <c r="B723">
        <v>2007</v>
      </c>
      <c r="C723">
        <v>64</v>
      </c>
      <c r="D723">
        <v>1</v>
      </c>
      <c r="E723" s="3">
        <v>1.6115999999999999</v>
      </c>
      <c r="F723" s="3"/>
      <c r="G723" s="3"/>
      <c r="H723" s="3"/>
      <c r="I723" s="3">
        <v>8.41</v>
      </c>
      <c r="J723">
        <v>-9</v>
      </c>
      <c r="K723">
        <v>0</v>
      </c>
      <c r="L723">
        <v>0.49480000000000002</v>
      </c>
      <c r="M723">
        <v>0</v>
      </c>
      <c r="N723" s="3"/>
    </row>
    <row r="724" spans="1:14" x14ac:dyDescent="0.2">
      <c r="A724" t="s">
        <v>571</v>
      </c>
      <c r="B724">
        <v>2007</v>
      </c>
      <c r="C724">
        <v>64</v>
      </c>
      <c r="D724">
        <v>1</v>
      </c>
      <c r="E724" s="3">
        <v>0.24329999999999999</v>
      </c>
      <c r="F724" s="3"/>
      <c r="G724" s="3"/>
      <c r="H724" s="3"/>
      <c r="I724" s="3">
        <v>7.57</v>
      </c>
      <c r="J724">
        <v>9</v>
      </c>
      <c r="K724">
        <v>1</v>
      </c>
      <c r="L724">
        <v>0.50090000000000001</v>
      </c>
      <c r="M724">
        <v>0</v>
      </c>
      <c r="N724" s="3"/>
    </row>
    <row r="725" spans="1:14" x14ac:dyDescent="0.2">
      <c r="A725" t="s">
        <v>577</v>
      </c>
      <c r="B725">
        <v>2007</v>
      </c>
      <c r="C725">
        <v>64</v>
      </c>
      <c r="D725">
        <v>1</v>
      </c>
      <c r="E725" s="3">
        <v>-2.9188999999999998</v>
      </c>
      <c r="F725" s="3"/>
      <c r="G725" s="3"/>
      <c r="H725" s="3"/>
      <c r="I725" s="3">
        <v>-3.26</v>
      </c>
      <c r="J725">
        <v>-12</v>
      </c>
      <c r="K725">
        <v>0</v>
      </c>
      <c r="L725">
        <v>0.39290000000000003</v>
      </c>
      <c r="M725">
        <v>0</v>
      </c>
      <c r="N725" s="3"/>
    </row>
    <row r="726" spans="1:14" x14ac:dyDescent="0.2">
      <c r="A726" t="s">
        <v>583</v>
      </c>
      <c r="B726">
        <v>2007</v>
      </c>
      <c r="C726">
        <v>64</v>
      </c>
      <c r="D726">
        <v>1</v>
      </c>
      <c r="E726" s="3">
        <v>-2.5512999999999999</v>
      </c>
      <c r="F726" s="3"/>
      <c r="G726" s="3"/>
      <c r="H726" s="3"/>
      <c r="I726" s="3">
        <v>-4.72</v>
      </c>
      <c r="J726">
        <v>-2</v>
      </c>
      <c r="K726">
        <v>0</v>
      </c>
      <c r="L726">
        <v>0.38500000000000001</v>
      </c>
      <c r="M726">
        <v>0</v>
      </c>
      <c r="N726" s="3"/>
    </row>
    <row r="727" spans="1:14" x14ac:dyDescent="0.2">
      <c r="A727" t="s">
        <v>584</v>
      </c>
      <c r="B727">
        <v>2007</v>
      </c>
      <c r="C727">
        <v>32</v>
      </c>
      <c r="D727">
        <v>8</v>
      </c>
      <c r="E727" s="3">
        <v>11.26</v>
      </c>
      <c r="F727" s="3"/>
      <c r="G727" s="3"/>
      <c r="H727" s="3"/>
      <c r="I727" s="3">
        <v>-7.01</v>
      </c>
      <c r="J727">
        <v>7</v>
      </c>
      <c r="K727">
        <v>1</v>
      </c>
      <c r="L727">
        <v>0</v>
      </c>
      <c r="M727">
        <v>0</v>
      </c>
      <c r="N727" s="3"/>
    </row>
    <row r="728" spans="1:14" x14ac:dyDescent="0.2">
      <c r="A728" t="s">
        <v>586</v>
      </c>
      <c r="B728">
        <v>2007</v>
      </c>
      <c r="C728">
        <v>32</v>
      </c>
      <c r="D728">
        <v>8</v>
      </c>
      <c r="E728" s="3">
        <v>10.38</v>
      </c>
      <c r="F728" s="3"/>
      <c r="G728" s="3"/>
      <c r="H728" s="3"/>
      <c r="I728" s="3">
        <v>2.27</v>
      </c>
      <c r="J728">
        <v>14</v>
      </c>
      <c r="K728">
        <v>1</v>
      </c>
      <c r="L728">
        <v>0</v>
      </c>
      <c r="M728">
        <v>0</v>
      </c>
      <c r="N728" s="3"/>
    </row>
    <row r="729" spans="1:14" x14ac:dyDescent="0.2">
      <c r="A729" t="s">
        <v>587</v>
      </c>
      <c r="B729">
        <v>2007</v>
      </c>
      <c r="C729">
        <v>32</v>
      </c>
      <c r="D729">
        <v>8</v>
      </c>
      <c r="E729" s="3">
        <v>11.17</v>
      </c>
      <c r="F729" s="3"/>
      <c r="G729" s="3"/>
      <c r="H729" s="3"/>
      <c r="I729" s="3">
        <v>-3.26</v>
      </c>
      <c r="J729">
        <v>7</v>
      </c>
      <c r="K729">
        <v>1</v>
      </c>
      <c r="L729">
        <v>0</v>
      </c>
      <c r="M729">
        <v>0</v>
      </c>
      <c r="N729" s="3"/>
    </row>
    <row r="730" spans="1:14" x14ac:dyDescent="0.2">
      <c r="A730" t="s">
        <v>592</v>
      </c>
      <c r="B730">
        <v>2007</v>
      </c>
      <c r="C730">
        <v>32</v>
      </c>
      <c r="D730">
        <v>8</v>
      </c>
      <c r="E730" s="3">
        <v>8.75</v>
      </c>
      <c r="F730" s="3"/>
      <c r="G730" s="3"/>
      <c r="H730" s="3"/>
      <c r="I730" s="3">
        <v>2.5099999999999998</v>
      </c>
      <c r="J730">
        <v>5</v>
      </c>
      <c r="K730">
        <v>1</v>
      </c>
      <c r="L730">
        <v>0</v>
      </c>
      <c r="M730">
        <v>0</v>
      </c>
      <c r="N730" s="3"/>
    </row>
    <row r="731" spans="1:14" x14ac:dyDescent="0.2">
      <c r="A731" t="s">
        <v>593</v>
      </c>
      <c r="B731">
        <v>2007</v>
      </c>
      <c r="C731">
        <v>32</v>
      </c>
      <c r="D731">
        <v>8</v>
      </c>
      <c r="E731" s="3">
        <v>3.87</v>
      </c>
      <c r="F731" s="3"/>
      <c r="G731" s="3"/>
      <c r="H731" s="3"/>
      <c r="I731" s="3">
        <v>-15.06</v>
      </c>
      <c r="J731">
        <v>14</v>
      </c>
      <c r="K731">
        <v>1</v>
      </c>
      <c r="L731">
        <v>0</v>
      </c>
      <c r="M731">
        <v>0</v>
      </c>
      <c r="N731" s="3"/>
    </row>
    <row r="732" spans="1:14" x14ac:dyDescent="0.2">
      <c r="A732" t="s">
        <v>585</v>
      </c>
      <c r="B732">
        <v>2007</v>
      </c>
      <c r="C732">
        <v>32</v>
      </c>
      <c r="D732">
        <v>7</v>
      </c>
      <c r="E732" s="3">
        <v>6.52</v>
      </c>
      <c r="F732" s="3"/>
      <c r="G732" s="3"/>
      <c r="H732" s="3"/>
      <c r="I732" s="3">
        <v>-8.94</v>
      </c>
      <c r="J732">
        <v>12</v>
      </c>
      <c r="K732">
        <v>1</v>
      </c>
      <c r="L732">
        <v>0</v>
      </c>
      <c r="M732">
        <v>0</v>
      </c>
      <c r="N732" s="3"/>
    </row>
    <row r="733" spans="1:14" x14ac:dyDescent="0.2">
      <c r="A733" t="s">
        <v>590</v>
      </c>
      <c r="B733">
        <v>2007</v>
      </c>
      <c r="C733">
        <v>32</v>
      </c>
      <c r="D733">
        <v>5</v>
      </c>
      <c r="E733" s="3">
        <v>12.05</v>
      </c>
      <c r="F733" s="3"/>
      <c r="G733" s="3"/>
      <c r="H733" s="3"/>
      <c r="I733" s="3">
        <v>0.18</v>
      </c>
      <c r="J733">
        <v>7</v>
      </c>
      <c r="K733">
        <v>1</v>
      </c>
      <c r="L733">
        <v>0</v>
      </c>
      <c r="M733">
        <v>0</v>
      </c>
      <c r="N733" s="3"/>
    </row>
    <row r="734" spans="1:14" x14ac:dyDescent="0.2">
      <c r="A734" t="s">
        <v>588</v>
      </c>
      <c r="B734">
        <v>2007</v>
      </c>
      <c r="C734">
        <v>32</v>
      </c>
      <c r="D734">
        <v>5</v>
      </c>
      <c r="E734" s="3">
        <v>10.23</v>
      </c>
      <c r="F734" s="3"/>
      <c r="G734" s="3"/>
      <c r="H734" s="3"/>
      <c r="I734" s="3">
        <v>-1.5</v>
      </c>
      <c r="J734">
        <v>-6</v>
      </c>
      <c r="K734">
        <v>0</v>
      </c>
      <c r="L734">
        <v>0</v>
      </c>
      <c r="M734">
        <v>0</v>
      </c>
      <c r="N734" s="3"/>
    </row>
    <row r="735" spans="1:14" x14ac:dyDescent="0.2">
      <c r="A735" t="s">
        <v>591</v>
      </c>
      <c r="B735">
        <v>2007</v>
      </c>
      <c r="C735">
        <v>32</v>
      </c>
      <c r="D735">
        <v>5</v>
      </c>
      <c r="E735" s="3">
        <v>8.2799999999999994</v>
      </c>
      <c r="F735" s="3"/>
      <c r="G735" s="3"/>
      <c r="H735" s="3"/>
      <c r="I735" s="3">
        <v>3</v>
      </c>
      <c r="J735">
        <v>16</v>
      </c>
      <c r="K735">
        <v>1</v>
      </c>
      <c r="L735">
        <v>0</v>
      </c>
      <c r="M735">
        <v>0</v>
      </c>
      <c r="N735" s="3"/>
    </row>
    <row r="736" spans="1:14" x14ac:dyDescent="0.2">
      <c r="A736" t="s">
        <v>589</v>
      </c>
      <c r="B736">
        <v>2007</v>
      </c>
      <c r="C736">
        <v>32</v>
      </c>
      <c r="D736">
        <v>5</v>
      </c>
      <c r="E736" s="3">
        <v>4</v>
      </c>
      <c r="F736" s="3"/>
      <c r="G736" s="3"/>
      <c r="H736" s="3"/>
      <c r="I736" s="3">
        <v>5.42</v>
      </c>
      <c r="J736">
        <v>5</v>
      </c>
      <c r="K736">
        <v>1</v>
      </c>
      <c r="L736">
        <v>0</v>
      </c>
      <c r="M736">
        <v>0</v>
      </c>
      <c r="N736" s="3"/>
    </row>
    <row r="737" spans="1:14" x14ac:dyDescent="0.2">
      <c r="A737" t="s">
        <v>595</v>
      </c>
      <c r="B737">
        <v>2007</v>
      </c>
      <c r="C737">
        <v>32</v>
      </c>
      <c r="D737">
        <v>3</v>
      </c>
      <c r="E737" s="3">
        <v>7.29</v>
      </c>
      <c r="F737" s="3"/>
      <c r="G737" s="3"/>
      <c r="H737" s="3"/>
      <c r="I737" s="3">
        <v>-2.81</v>
      </c>
      <c r="J737">
        <v>3</v>
      </c>
      <c r="K737">
        <v>1</v>
      </c>
      <c r="L737">
        <v>0</v>
      </c>
      <c r="M737">
        <v>0</v>
      </c>
      <c r="N737" s="3"/>
    </row>
    <row r="738" spans="1:14" x14ac:dyDescent="0.2">
      <c r="A738" t="s">
        <v>594</v>
      </c>
      <c r="B738">
        <v>2007</v>
      </c>
      <c r="C738">
        <v>32</v>
      </c>
      <c r="D738">
        <v>3</v>
      </c>
      <c r="E738" s="3">
        <v>3.19</v>
      </c>
      <c r="F738" s="3"/>
      <c r="G738" s="3"/>
      <c r="H738" s="3"/>
      <c r="I738" s="3">
        <v>-3.41</v>
      </c>
      <c r="J738">
        <v>-4</v>
      </c>
      <c r="K738">
        <v>0</v>
      </c>
      <c r="L738">
        <v>0</v>
      </c>
      <c r="M738">
        <v>0</v>
      </c>
      <c r="N738" s="3"/>
    </row>
    <row r="739" spans="1:14" x14ac:dyDescent="0.2">
      <c r="A739" t="s">
        <v>598</v>
      </c>
      <c r="B739">
        <v>2007</v>
      </c>
      <c r="C739">
        <v>32</v>
      </c>
      <c r="D739">
        <v>1</v>
      </c>
      <c r="E739" s="3">
        <v>5.21</v>
      </c>
      <c r="F739" s="3"/>
      <c r="G739" s="3"/>
      <c r="H739" s="3"/>
      <c r="I739" s="3">
        <v>2.21</v>
      </c>
      <c r="J739">
        <v>-19</v>
      </c>
      <c r="K739">
        <v>0</v>
      </c>
      <c r="L739">
        <v>0</v>
      </c>
      <c r="M739">
        <v>0</v>
      </c>
      <c r="N739" s="3"/>
    </row>
    <row r="740" spans="1:14" x14ac:dyDescent="0.2">
      <c r="A740" t="s">
        <v>597</v>
      </c>
      <c r="B740">
        <v>2007</v>
      </c>
      <c r="C740">
        <v>32</v>
      </c>
      <c r="D740">
        <v>1</v>
      </c>
      <c r="E740" s="3">
        <v>1.91</v>
      </c>
      <c r="F740" s="3"/>
      <c r="G740" s="3"/>
      <c r="H740" s="3"/>
      <c r="I740" s="3">
        <v>4.38</v>
      </c>
      <c r="J740">
        <v>15</v>
      </c>
      <c r="K740">
        <v>1</v>
      </c>
      <c r="L740">
        <v>0</v>
      </c>
      <c r="M740">
        <v>0</v>
      </c>
      <c r="N740" s="3"/>
    </row>
    <row r="741" spans="1:14" x14ac:dyDescent="0.2">
      <c r="A741" t="s">
        <v>596</v>
      </c>
      <c r="B741">
        <v>2007</v>
      </c>
      <c r="C741">
        <v>32</v>
      </c>
      <c r="D741">
        <v>1</v>
      </c>
      <c r="E741" s="3">
        <v>1.49</v>
      </c>
      <c r="F741" s="3"/>
      <c r="G741" s="3"/>
      <c r="H741" s="3"/>
      <c r="I741" s="3">
        <v>-7.84</v>
      </c>
      <c r="J741">
        <v>-3</v>
      </c>
      <c r="K741">
        <v>0</v>
      </c>
      <c r="L741">
        <v>0</v>
      </c>
      <c r="M741">
        <v>0</v>
      </c>
      <c r="N741" s="3"/>
    </row>
    <row r="742" spans="1:14" x14ac:dyDescent="0.2">
      <c r="A742" t="s">
        <v>599</v>
      </c>
      <c r="B742">
        <v>2007</v>
      </c>
      <c r="C742">
        <v>32</v>
      </c>
      <c r="D742">
        <v>1</v>
      </c>
      <c r="E742" s="3">
        <v>-2.15</v>
      </c>
      <c r="F742" s="3"/>
      <c r="G742" s="3"/>
      <c r="H742" s="3"/>
      <c r="I742" s="3">
        <v>-5.38</v>
      </c>
      <c r="J742">
        <v>-3</v>
      </c>
      <c r="K742">
        <v>0</v>
      </c>
      <c r="L742">
        <v>0</v>
      </c>
      <c r="M742">
        <v>0</v>
      </c>
      <c r="N742" s="3"/>
    </row>
    <row r="743" spans="1:14" x14ac:dyDescent="0.2">
      <c r="A743" t="s">
        <v>602</v>
      </c>
      <c r="B743">
        <v>2007</v>
      </c>
      <c r="C743">
        <v>16</v>
      </c>
      <c r="D743">
        <v>4</v>
      </c>
      <c r="E743" s="3">
        <v>15.54</v>
      </c>
      <c r="F743" s="3"/>
      <c r="G743" s="3"/>
      <c r="H743" s="3"/>
      <c r="I743" s="3">
        <v>7.49</v>
      </c>
      <c r="J743">
        <v>10</v>
      </c>
      <c r="K743">
        <v>1</v>
      </c>
      <c r="L743">
        <v>0.84260000000000002</v>
      </c>
      <c r="M743">
        <v>0</v>
      </c>
      <c r="N743" s="3"/>
    </row>
    <row r="744" spans="1:14" x14ac:dyDescent="0.2">
      <c r="A744" t="s">
        <v>605</v>
      </c>
      <c r="B744">
        <v>2007</v>
      </c>
      <c r="C744">
        <v>16</v>
      </c>
      <c r="D744">
        <v>4</v>
      </c>
      <c r="E744" s="3">
        <v>12.97</v>
      </c>
      <c r="F744" s="3"/>
      <c r="G744" s="3"/>
      <c r="H744" s="3"/>
      <c r="I744" s="3">
        <v>-0.16</v>
      </c>
      <c r="J744">
        <v>1</v>
      </c>
      <c r="K744">
        <v>1</v>
      </c>
      <c r="L744">
        <v>0.79590000000000005</v>
      </c>
      <c r="M744">
        <v>0</v>
      </c>
      <c r="N744" s="3"/>
    </row>
    <row r="745" spans="1:14" x14ac:dyDescent="0.2">
      <c r="A745" t="s">
        <v>603</v>
      </c>
      <c r="B745">
        <v>2007</v>
      </c>
      <c r="C745">
        <v>16</v>
      </c>
      <c r="D745">
        <v>4</v>
      </c>
      <c r="E745" s="3">
        <v>11.18</v>
      </c>
      <c r="F745" s="3"/>
      <c r="G745" s="3"/>
      <c r="H745" s="3"/>
      <c r="I745" s="3">
        <v>-1.82</v>
      </c>
      <c r="J745">
        <v>1</v>
      </c>
      <c r="K745">
        <v>1</v>
      </c>
      <c r="L745">
        <v>0.77890000000000004</v>
      </c>
      <c r="M745">
        <v>0</v>
      </c>
      <c r="N745" s="3"/>
    </row>
    <row r="746" spans="1:14" x14ac:dyDescent="0.2">
      <c r="A746" t="s">
        <v>600</v>
      </c>
      <c r="B746">
        <v>2007</v>
      </c>
      <c r="C746">
        <v>16</v>
      </c>
      <c r="D746">
        <v>4</v>
      </c>
      <c r="E746" s="3">
        <v>7.77</v>
      </c>
      <c r="F746" s="3"/>
      <c r="G746" s="3"/>
      <c r="H746" s="3"/>
      <c r="I746" s="3">
        <v>-11.74</v>
      </c>
      <c r="J746">
        <v>8</v>
      </c>
      <c r="K746">
        <v>1</v>
      </c>
      <c r="L746">
        <v>0.7883</v>
      </c>
      <c r="M746">
        <v>0</v>
      </c>
      <c r="N746" s="3"/>
    </row>
    <row r="747" spans="1:14" x14ac:dyDescent="0.2">
      <c r="A747" t="s">
        <v>607</v>
      </c>
      <c r="B747">
        <v>2007</v>
      </c>
      <c r="C747">
        <v>16</v>
      </c>
      <c r="D747">
        <v>4</v>
      </c>
      <c r="E747" s="3">
        <v>3.68</v>
      </c>
      <c r="F747" s="3"/>
      <c r="G747" s="3"/>
      <c r="H747" s="3"/>
      <c r="I747" s="3">
        <v>-8.43</v>
      </c>
      <c r="J747">
        <v>4</v>
      </c>
      <c r="K747">
        <v>1</v>
      </c>
      <c r="L747">
        <v>0.61409999999999998</v>
      </c>
      <c r="M747">
        <v>0</v>
      </c>
      <c r="N747" s="3"/>
    </row>
    <row r="748" spans="1:14" x14ac:dyDescent="0.2">
      <c r="A748" t="s">
        <v>601</v>
      </c>
      <c r="B748">
        <v>2007</v>
      </c>
      <c r="C748">
        <v>16</v>
      </c>
      <c r="D748">
        <v>3</v>
      </c>
      <c r="E748" s="3">
        <v>7.76</v>
      </c>
      <c r="F748" s="3"/>
      <c r="G748" s="3"/>
      <c r="H748" s="3"/>
      <c r="I748" s="3">
        <v>-3.57</v>
      </c>
      <c r="J748">
        <v>3</v>
      </c>
      <c r="K748">
        <v>1</v>
      </c>
      <c r="L748">
        <v>0.84199999999999997</v>
      </c>
      <c r="M748">
        <v>0</v>
      </c>
      <c r="N748" s="3"/>
    </row>
    <row r="749" spans="1:14" x14ac:dyDescent="0.2">
      <c r="A749" t="s">
        <v>604</v>
      </c>
      <c r="B749">
        <v>2007</v>
      </c>
      <c r="C749">
        <v>16</v>
      </c>
      <c r="D749">
        <v>1</v>
      </c>
      <c r="E749" s="3">
        <v>3.01</v>
      </c>
      <c r="F749" s="3"/>
      <c r="G749" s="3"/>
      <c r="H749" s="3"/>
      <c r="I749" s="3">
        <v>5.81</v>
      </c>
      <c r="J749">
        <v>9</v>
      </c>
      <c r="K749">
        <v>1</v>
      </c>
      <c r="L749">
        <v>0.62680000000000002</v>
      </c>
      <c r="M749">
        <v>0</v>
      </c>
      <c r="N749" s="3"/>
    </row>
    <row r="750" spans="1:14" x14ac:dyDescent="0.2">
      <c r="A750" t="s">
        <v>606</v>
      </c>
      <c r="B750">
        <v>2007</v>
      </c>
      <c r="C750">
        <v>16</v>
      </c>
      <c r="D750">
        <v>1</v>
      </c>
      <c r="E750" s="3">
        <v>-1.79</v>
      </c>
      <c r="F750" s="3"/>
      <c r="G750" s="3"/>
      <c r="H750" s="3"/>
      <c r="I750" s="3">
        <v>6.98</v>
      </c>
      <c r="J750">
        <v>1</v>
      </c>
      <c r="K750">
        <v>1</v>
      </c>
      <c r="L750">
        <v>0.40889999999999999</v>
      </c>
      <c r="M750">
        <v>0</v>
      </c>
      <c r="N750" s="3"/>
    </row>
    <row r="751" spans="1:14" x14ac:dyDescent="0.2">
      <c r="A751" t="s">
        <v>608</v>
      </c>
      <c r="B751">
        <v>2007</v>
      </c>
      <c r="C751">
        <v>8</v>
      </c>
      <c r="D751">
        <v>2</v>
      </c>
      <c r="E751" s="3">
        <v>9</v>
      </c>
      <c r="F751" s="3"/>
      <c r="G751" s="3"/>
      <c r="H751" s="3"/>
      <c r="I751" s="3">
        <v>1.58</v>
      </c>
      <c r="J751">
        <v>8</v>
      </c>
      <c r="K751">
        <v>1</v>
      </c>
      <c r="L751">
        <v>0.75600000000000001</v>
      </c>
      <c r="M751">
        <v>0</v>
      </c>
      <c r="N751" s="3"/>
    </row>
    <row r="752" spans="1:14" x14ac:dyDescent="0.2">
      <c r="A752" t="s">
        <v>611</v>
      </c>
      <c r="B752">
        <v>2007</v>
      </c>
      <c r="C752">
        <v>8</v>
      </c>
      <c r="D752">
        <v>1</v>
      </c>
      <c r="E752" s="3">
        <v>2.98</v>
      </c>
      <c r="F752" s="3"/>
      <c r="G752" s="3"/>
      <c r="H752" s="3"/>
      <c r="I752" s="3">
        <v>-2.4700000000000002</v>
      </c>
      <c r="J752">
        <v>16</v>
      </c>
      <c r="K752">
        <v>1</v>
      </c>
      <c r="L752">
        <v>0.58199999999999996</v>
      </c>
      <c r="M752">
        <v>0</v>
      </c>
      <c r="N752" s="3"/>
    </row>
    <row r="753" spans="1:14" x14ac:dyDescent="0.2">
      <c r="A753" t="s">
        <v>610</v>
      </c>
      <c r="B753">
        <v>2007</v>
      </c>
      <c r="C753">
        <v>8</v>
      </c>
      <c r="D753">
        <v>1</v>
      </c>
      <c r="E753" s="3">
        <v>4.05</v>
      </c>
      <c r="F753" s="3"/>
      <c r="G753" s="3"/>
      <c r="H753" s="3"/>
      <c r="I753" s="3">
        <v>3.6</v>
      </c>
      <c r="J753">
        <v>-12</v>
      </c>
      <c r="K753">
        <v>0</v>
      </c>
      <c r="L753">
        <v>0.63600000000000001</v>
      </c>
      <c r="M753">
        <v>0</v>
      </c>
      <c r="N753" s="3"/>
    </row>
    <row r="754" spans="1:14" x14ac:dyDescent="0.2">
      <c r="A754" t="s">
        <v>609</v>
      </c>
      <c r="B754">
        <v>2007</v>
      </c>
      <c r="C754">
        <v>8</v>
      </c>
      <c r="D754">
        <v>1</v>
      </c>
      <c r="E754" s="3">
        <v>1.84</v>
      </c>
      <c r="F754" s="3"/>
      <c r="G754" s="3"/>
      <c r="H754" s="3"/>
      <c r="I754" s="3">
        <v>-6.99</v>
      </c>
      <c r="J754">
        <v>-13</v>
      </c>
      <c r="K754">
        <v>0</v>
      </c>
      <c r="L754">
        <v>0.63200000000000001</v>
      </c>
      <c r="M754">
        <v>0</v>
      </c>
      <c r="N754" s="3"/>
    </row>
    <row r="755" spans="1:14" x14ac:dyDescent="0.2">
      <c r="A755" t="s">
        <v>612</v>
      </c>
      <c r="B755">
        <v>2007</v>
      </c>
      <c r="C755">
        <v>4</v>
      </c>
      <c r="D755">
        <v>1</v>
      </c>
      <c r="E755" s="3">
        <v>2.25</v>
      </c>
      <c r="F755" s="3"/>
      <c r="G755" s="3"/>
      <c r="H755" s="3"/>
      <c r="I755" s="3">
        <v>-12.4</v>
      </c>
      <c r="J755">
        <v>10</v>
      </c>
      <c r="K755">
        <v>1</v>
      </c>
      <c r="L755">
        <v>0.54</v>
      </c>
      <c r="M755">
        <v>0</v>
      </c>
      <c r="N755" s="3"/>
    </row>
    <row r="756" spans="1:14" x14ac:dyDescent="0.2">
      <c r="A756" t="s">
        <v>613</v>
      </c>
      <c r="B756">
        <v>2007</v>
      </c>
      <c r="C756">
        <v>4</v>
      </c>
      <c r="D756">
        <v>1</v>
      </c>
      <c r="E756" s="3">
        <v>0.38</v>
      </c>
      <c r="F756" s="3"/>
      <c r="G756" s="3"/>
      <c r="H756" s="3"/>
      <c r="I756" s="3">
        <v>1.24</v>
      </c>
      <c r="J756">
        <v>7</v>
      </c>
      <c r="K756">
        <v>1</v>
      </c>
      <c r="L756">
        <v>0.501</v>
      </c>
      <c r="M756">
        <v>0</v>
      </c>
      <c r="N756" s="3"/>
    </row>
    <row r="757" spans="1:14" x14ac:dyDescent="0.2">
      <c r="A757" t="s">
        <v>614</v>
      </c>
      <c r="B757">
        <v>2007</v>
      </c>
      <c r="C757">
        <v>2</v>
      </c>
      <c r="D757">
        <v>0</v>
      </c>
      <c r="E757" s="3">
        <v>0.59</v>
      </c>
      <c r="F757" s="3"/>
      <c r="G757" s="3"/>
      <c r="H757" s="3"/>
      <c r="I757" s="3">
        <v>-6.19</v>
      </c>
      <c r="J757">
        <v>9</v>
      </c>
      <c r="K757">
        <v>1</v>
      </c>
      <c r="L757">
        <v>0</v>
      </c>
      <c r="M757">
        <v>0</v>
      </c>
      <c r="N757" s="3"/>
    </row>
    <row r="758" spans="1:14" x14ac:dyDescent="0.2">
      <c r="A758" t="s">
        <v>622</v>
      </c>
      <c r="B758">
        <v>2006</v>
      </c>
      <c r="C758">
        <v>64</v>
      </c>
      <c r="D758">
        <v>15</v>
      </c>
      <c r="E758" s="3">
        <v>32.206870000000002</v>
      </c>
      <c r="F758" s="3"/>
      <c r="G758" s="3"/>
      <c r="H758" s="3"/>
      <c r="I758" s="3">
        <v>-0.61</v>
      </c>
      <c r="J758">
        <v>16</v>
      </c>
      <c r="K758">
        <v>1</v>
      </c>
      <c r="L758">
        <v>0.97450000000000003</v>
      </c>
      <c r="M758">
        <v>0</v>
      </c>
      <c r="N758" s="3"/>
    </row>
    <row r="759" spans="1:14" x14ac:dyDescent="0.2">
      <c r="A759" t="s">
        <v>624</v>
      </c>
      <c r="B759">
        <v>2006</v>
      </c>
      <c r="C759">
        <v>64</v>
      </c>
      <c r="D759">
        <v>15</v>
      </c>
      <c r="E759" s="3">
        <v>27.719639999999998</v>
      </c>
      <c r="F759" s="3"/>
      <c r="G759" s="3"/>
      <c r="H759" s="3"/>
      <c r="I759" s="3">
        <v>2.2400000000000002</v>
      </c>
      <c r="J759">
        <v>13</v>
      </c>
      <c r="K759">
        <v>1</v>
      </c>
      <c r="L759">
        <v>0.96120000000000005</v>
      </c>
      <c r="M759">
        <v>0</v>
      </c>
      <c r="N759" s="3"/>
    </row>
    <row r="760" spans="1:14" x14ac:dyDescent="0.2">
      <c r="A760" t="s">
        <v>625</v>
      </c>
      <c r="B760">
        <v>2006</v>
      </c>
      <c r="C760">
        <v>64</v>
      </c>
      <c r="D760">
        <v>15</v>
      </c>
      <c r="E760" s="3">
        <v>23.528549999999999</v>
      </c>
      <c r="F760" s="3"/>
      <c r="G760" s="3"/>
      <c r="H760" s="3"/>
      <c r="I760" s="3">
        <v>-0.49</v>
      </c>
      <c r="J760">
        <v>13</v>
      </c>
      <c r="K760">
        <v>1</v>
      </c>
      <c r="L760">
        <v>0.94789999999999996</v>
      </c>
      <c r="M760">
        <v>0</v>
      </c>
      <c r="N760" s="3"/>
    </row>
    <row r="761" spans="1:14" x14ac:dyDescent="0.2">
      <c r="A761" t="s">
        <v>623</v>
      </c>
      <c r="B761">
        <v>2006</v>
      </c>
      <c r="C761">
        <v>64</v>
      </c>
      <c r="D761">
        <v>15</v>
      </c>
      <c r="E761" s="3">
        <v>16.247599999999998</v>
      </c>
      <c r="F761" s="3"/>
      <c r="G761" s="3"/>
      <c r="H761" s="3"/>
      <c r="I761" s="3">
        <v>3.85</v>
      </c>
      <c r="J761">
        <v>16</v>
      </c>
      <c r="K761">
        <v>1</v>
      </c>
      <c r="L761">
        <v>0.86399999999999999</v>
      </c>
      <c r="M761">
        <v>0</v>
      </c>
      <c r="N761" s="3"/>
    </row>
    <row r="762" spans="1:14" x14ac:dyDescent="0.2">
      <c r="A762" t="s">
        <v>627</v>
      </c>
      <c r="B762">
        <v>2006</v>
      </c>
      <c r="C762">
        <v>64</v>
      </c>
      <c r="D762">
        <v>13</v>
      </c>
      <c r="E762" s="3">
        <v>21.910157999999999</v>
      </c>
      <c r="F762" s="3"/>
      <c r="G762" s="3"/>
      <c r="H762" s="3"/>
      <c r="I762" s="3">
        <v>2.0099999999999998</v>
      </c>
      <c r="J762">
        <v>34</v>
      </c>
      <c r="K762">
        <v>1</v>
      </c>
      <c r="L762">
        <v>0.95389999999999997</v>
      </c>
      <c r="M762">
        <v>0</v>
      </c>
      <c r="N762" s="3"/>
    </row>
    <row r="763" spans="1:14" x14ac:dyDescent="0.2">
      <c r="A763" t="s">
        <v>626</v>
      </c>
      <c r="B763">
        <v>2006</v>
      </c>
      <c r="C763">
        <v>64</v>
      </c>
      <c r="D763">
        <v>13</v>
      </c>
      <c r="E763" s="3">
        <v>19.120519999999999</v>
      </c>
      <c r="F763" s="3"/>
      <c r="G763" s="3"/>
      <c r="H763" s="3"/>
      <c r="I763" s="3">
        <v>-1.85</v>
      </c>
      <c r="J763">
        <v>8</v>
      </c>
      <c r="K763">
        <v>1</v>
      </c>
      <c r="L763">
        <v>0.92830000000000001</v>
      </c>
      <c r="M763">
        <v>0</v>
      </c>
      <c r="N763" s="3"/>
    </row>
    <row r="764" spans="1:14" x14ac:dyDescent="0.2">
      <c r="A764" t="s">
        <v>628</v>
      </c>
      <c r="B764">
        <v>2006</v>
      </c>
      <c r="C764">
        <v>64</v>
      </c>
      <c r="D764">
        <v>13</v>
      </c>
      <c r="E764" s="3">
        <v>17.910530000000001</v>
      </c>
      <c r="F764" s="3"/>
      <c r="G764" s="3"/>
      <c r="H764" s="3"/>
      <c r="I764" s="3">
        <v>-7.65</v>
      </c>
      <c r="J764">
        <v>8</v>
      </c>
      <c r="K764">
        <v>1</v>
      </c>
      <c r="L764">
        <v>0.90749999999999997</v>
      </c>
      <c r="M764">
        <v>0</v>
      </c>
      <c r="N764" s="3"/>
    </row>
    <row r="765" spans="1:14" x14ac:dyDescent="0.2">
      <c r="A765" t="s">
        <v>629</v>
      </c>
      <c r="B765">
        <v>2006</v>
      </c>
      <c r="C765">
        <v>64</v>
      </c>
      <c r="D765">
        <v>13</v>
      </c>
      <c r="E765" s="3">
        <v>9.4794300000000007</v>
      </c>
      <c r="F765" s="3"/>
      <c r="G765" s="3"/>
      <c r="H765" s="3"/>
      <c r="I765" s="3">
        <v>-3.6</v>
      </c>
      <c r="J765">
        <v>2</v>
      </c>
      <c r="K765">
        <v>1</v>
      </c>
      <c r="L765">
        <v>0.77529999999999999</v>
      </c>
      <c r="M765">
        <v>0</v>
      </c>
      <c r="N765" s="3"/>
    </row>
    <row r="766" spans="1:14" x14ac:dyDescent="0.2">
      <c r="A766" t="s">
        <v>633</v>
      </c>
      <c r="B766">
        <v>2006</v>
      </c>
      <c r="C766">
        <v>64</v>
      </c>
      <c r="D766">
        <v>11</v>
      </c>
      <c r="E766" s="3">
        <v>14.98312</v>
      </c>
      <c r="F766" s="3"/>
      <c r="G766" s="3"/>
      <c r="H766" s="3"/>
      <c r="I766" s="3">
        <v>-2.14</v>
      </c>
      <c r="J766">
        <v>4</v>
      </c>
      <c r="K766">
        <v>1</v>
      </c>
      <c r="L766">
        <v>0.89810000000000001</v>
      </c>
      <c r="M766">
        <v>0</v>
      </c>
      <c r="N766" s="3"/>
    </row>
    <row r="767" spans="1:14" x14ac:dyDescent="0.2">
      <c r="A767" t="s">
        <v>632</v>
      </c>
      <c r="B767">
        <v>2006</v>
      </c>
      <c r="C767">
        <v>64</v>
      </c>
      <c r="D767">
        <v>11</v>
      </c>
      <c r="E767" s="3">
        <v>13.93718</v>
      </c>
      <c r="F767" s="3"/>
      <c r="G767" s="3"/>
      <c r="H767" s="3"/>
      <c r="I767" s="3">
        <v>-0.59</v>
      </c>
      <c r="J767">
        <v>26</v>
      </c>
      <c r="K767">
        <v>1</v>
      </c>
      <c r="L767">
        <v>0.83379999999999999</v>
      </c>
      <c r="M767">
        <v>0</v>
      </c>
      <c r="N767" s="3"/>
    </row>
    <row r="768" spans="1:14" x14ac:dyDescent="0.2">
      <c r="A768" t="s">
        <v>630</v>
      </c>
      <c r="B768">
        <v>2006</v>
      </c>
      <c r="C768">
        <v>64</v>
      </c>
      <c r="D768">
        <v>11</v>
      </c>
      <c r="E768" s="3">
        <v>12.09873</v>
      </c>
      <c r="F768" s="3"/>
      <c r="G768" s="3"/>
      <c r="H768" s="3"/>
      <c r="I768" s="3">
        <v>-3.95</v>
      </c>
      <c r="J768">
        <v>-1</v>
      </c>
      <c r="K768">
        <v>0</v>
      </c>
      <c r="L768">
        <v>0.87080000000000002</v>
      </c>
      <c r="M768">
        <v>0</v>
      </c>
      <c r="N768" s="3"/>
    </row>
    <row r="769" spans="1:14" x14ac:dyDescent="0.2">
      <c r="A769" t="s">
        <v>631</v>
      </c>
      <c r="B769">
        <v>2006</v>
      </c>
      <c r="C769">
        <v>64</v>
      </c>
      <c r="D769">
        <v>11</v>
      </c>
      <c r="E769" s="3">
        <v>1.7097</v>
      </c>
      <c r="F769" s="3"/>
      <c r="G769" s="3"/>
      <c r="H769" s="3"/>
      <c r="I769" s="3">
        <v>10.77</v>
      </c>
      <c r="J769">
        <v>4</v>
      </c>
      <c r="K769">
        <v>1</v>
      </c>
      <c r="L769">
        <v>0.56259999999999999</v>
      </c>
      <c r="M769">
        <v>0</v>
      </c>
      <c r="N769" s="3"/>
    </row>
    <row r="770" spans="1:14" x14ac:dyDescent="0.2">
      <c r="A770" t="s">
        <v>634</v>
      </c>
      <c r="B770">
        <v>2006</v>
      </c>
      <c r="C770">
        <v>64</v>
      </c>
      <c r="D770">
        <v>9</v>
      </c>
      <c r="E770" s="3">
        <v>8.7719000000000005</v>
      </c>
      <c r="F770" s="3"/>
      <c r="G770" s="3"/>
      <c r="H770" s="3"/>
      <c r="I770" s="3">
        <v>2.6</v>
      </c>
      <c r="J770">
        <v>16</v>
      </c>
      <c r="K770">
        <v>1</v>
      </c>
      <c r="L770">
        <v>0.77229999999999999</v>
      </c>
      <c r="M770">
        <v>0</v>
      </c>
      <c r="N770" s="3"/>
    </row>
    <row r="771" spans="1:14" x14ac:dyDescent="0.2">
      <c r="A771" t="s">
        <v>637</v>
      </c>
      <c r="B771">
        <v>2006</v>
      </c>
      <c r="C771">
        <v>64</v>
      </c>
      <c r="D771">
        <v>9</v>
      </c>
      <c r="E771" s="3">
        <v>8.4770000000000003</v>
      </c>
      <c r="F771" s="3"/>
      <c r="G771" s="3"/>
      <c r="H771" s="3"/>
      <c r="I771" s="3">
        <v>2.92</v>
      </c>
      <c r="J771">
        <v>9</v>
      </c>
      <c r="K771">
        <v>1</v>
      </c>
      <c r="L771">
        <v>0.69710000000000005</v>
      </c>
      <c r="M771">
        <v>0</v>
      </c>
      <c r="N771" s="3"/>
    </row>
    <row r="772" spans="1:14" x14ac:dyDescent="0.2">
      <c r="A772" t="s">
        <v>635</v>
      </c>
      <c r="B772">
        <v>2006</v>
      </c>
      <c r="C772">
        <v>64</v>
      </c>
      <c r="D772">
        <v>9</v>
      </c>
      <c r="E772" s="3">
        <v>7.7659000000000002</v>
      </c>
      <c r="F772" s="3"/>
      <c r="G772" s="3"/>
      <c r="H772" s="3"/>
      <c r="I772" s="3">
        <v>4.25</v>
      </c>
      <c r="J772">
        <v>-4</v>
      </c>
      <c r="K772">
        <v>0</v>
      </c>
      <c r="L772">
        <v>0.7893</v>
      </c>
      <c r="M772">
        <v>0</v>
      </c>
      <c r="N772" s="3"/>
    </row>
    <row r="773" spans="1:14" x14ac:dyDescent="0.2">
      <c r="A773" t="s">
        <v>636</v>
      </c>
      <c r="B773">
        <v>2006</v>
      </c>
      <c r="C773">
        <v>64</v>
      </c>
      <c r="D773">
        <v>9</v>
      </c>
      <c r="E773" s="3">
        <v>6.8479000000000001</v>
      </c>
      <c r="F773" s="3"/>
      <c r="G773" s="3"/>
      <c r="H773" s="3"/>
      <c r="I773" s="3">
        <v>-4.3600000000000003</v>
      </c>
      <c r="J773">
        <v>12</v>
      </c>
      <c r="K773">
        <v>1</v>
      </c>
      <c r="L773">
        <v>0.65039999999999998</v>
      </c>
      <c r="M773">
        <v>0</v>
      </c>
      <c r="N773" s="3"/>
    </row>
    <row r="774" spans="1:14" x14ac:dyDescent="0.2">
      <c r="A774" t="s">
        <v>638</v>
      </c>
      <c r="B774">
        <v>2006</v>
      </c>
      <c r="C774">
        <v>64</v>
      </c>
      <c r="D774">
        <v>7</v>
      </c>
      <c r="E774" s="3">
        <v>-2.4878999999999998</v>
      </c>
      <c r="F774" s="3"/>
      <c r="G774" s="3"/>
      <c r="H774" s="3"/>
      <c r="I774" s="3">
        <v>-6.75</v>
      </c>
      <c r="J774">
        <v>-8</v>
      </c>
      <c r="K774">
        <v>0</v>
      </c>
      <c r="L774">
        <v>0.37159999999999999</v>
      </c>
      <c r="M774">
        <v>0</v>
      </c>
      <c r="N774" s="3"/>
    </row>
    <row r="775" spans="1:14" x14ac:dyDescent="0.2">
      <c r="A775" t="s">
        <v>639</v>
      </c>
      <c r="B775">
        <v>2006</v>
      </c>
      <c r="C775">
        <v>64</v>
      </c>
      <c r="D775">
        <v>7</v>
      </c>
      <c r="E775" s="3">
        <v>10.631399999999999</v>
      </c>
      <c r="F775" s="3"/>
      <c r="G775" s="3"/>
      <c r="H775" s="3"/>
      <c r="I775" s="3">
        <v>-2.0299999999999998</v>
      </c>
      <c r="J775">
        <v>15</v>
      </c>
      <c r="K775">
        <v>1</v>
      </c>
      <c r="L775">
        <v>0.8135</v>
      </c>
      <c r="M775">
        <v>0</v>
      </c>
      <c r="N775" s="3"/>
    </row>
    <row r="776" spans="1:14" x14ac:dyDescent="0.2">
      <c r="A776" t="s">
        <v>640</v>
      </c>
      <c r="B776">
        <v>2006</v>
      </c>
      <c r="C776">
        <v>64</v>
      </c>
      <c r="D776">
        <v>7</v>
      </c>
      <c r="E776" s="3">
        <v>7.4677100000000003</v>
      </c>
      <c r="F776" s="3"/>
      <c r="G776" s="3"/>
      <c r="H776" s="3"/>
      <c r="I776" s="3">
        <v>4.6500000000000004</v>
      </c>
      <c r="J776">
        <v>-8</v>
      </c>
      <c r="K776">
        <v>0</v>
      </c>
      <c r="L776">
        <v>0.754</v>
      </c>
      <c r="M776">
        <v>0</v>
      </c>
      <c r="N776" s="3"/>
    </row>
    <row r="777" spans="1:14" x14ac:dyDescent="0.2">
      <c r="A777" t="s">
        <v>641</v>
      </c>
      <c r="B777">
        <v>2006</v>
      </c>
      <c r="C777">
        <v>64</v>
      </c>
      <c r="D777">
        <v>7</v>
      </c>
      <c r="E777" s="3">
        <v>7.0006000000000004</v>
      </c>
      <c r="F777" s="3"/>
      <c r="G777" s="3"/>
      <c r="H777" s="3"/>
      <c r="I777" s="3">
        <v>-1.8</v>
      </c>
      <c r="J777">
        <v>14</v>
      </c>
      <c r="K777">
        <v>1</v>
      </c>
      <c r="L777">
        <v>0.75339999999999996</v>
      </c>
      <c r="M777">
        <v>0</v>
      </c>
      <c r="N777" s="3"/>
    </row>
    <row r="778" spans="1:14" x14ac:dyDescent="0.2">
      <c r="A778" t="s">
        <v>643</v>
      </c>
      <c r="B778">
        <v>2006</v>
      </c>
      <c r="C778">
        <v>64</v>
      </c>
      <c r="D778">
        <v>5</v>
      </c>
      <c r="E778" s="3">
        <v>3.5941999999999998</v>
      </c>
      <c r="F778" s="3"/>
      <c r="G778" s="3"/>
      <c r="H778" s="3"/>
      <c r="I778" s="3">
        <v>1.38</v>
      </c>
      <c r="J778">
        <v>4</v>
      </c>
      <c r="K778">
        <v>1</v>
      </c>
      <c r="L778">
        <v>0.44190000000000002</v>
      </c>
      <c r="M778">
        <v>0</v>
      </c>
      <c r="N778" s="3"/>
    </row>
    <row r="779" spans="1:14" x14ac:dyDescent="0.2">
      <c r="A779" t="s">
        <v>642</v>
      </c>
      <c r="B779">
        <v>2006</v>
      </c>
      <c r="C779">
        <v>64</v>
      </c>
      <c r="D779">
        <v>5</v>
      </c>
      <c r="E779" s="3">
        <v>3.2378</v>
      </c>
      <c r="F779" s="3"/>
      <c r="G779" s="3"/>
      <c r="H779" s="3"/>
      <c r="I779" s="3">
        <v>0.98</v>
      </c>
      <c r="J779">
        <v>18</v>
      </c>
      <c r="K779">
        <v>1</v>
      </c>
      <c r="L779">
        <v>0.59409999999999996</v>
      </c>
      <c r="M779">
        <v>0</v>
      </c>
      <c r="N779" s="3"/>
    </row>
    <row r="780" spans="1:14" x14ac:dyDescent="0.2">
      <c r="A780" t="s">
        <v>644</v>
      </c>
      <c r="B780">
        <v>2006</v>
      </c>
      <c r="C780">
        <v>64</v>
      </c>
      <c r="D780">
        <v>5</v>
      </c>
      <c r="E780" s="3">
        <v>2.6657000000000002</v>
      </c>
      <c r="F780" s="3"/>
      <c r="G780" s="3"/>
      <c r="H780" s="3"/>
      <c r="I780" s="3">
        <v>-1.9</v>
      </c>
      <c r="J780">
        <v>-8</v>
      </c>
      <c r="K780">
        <v>0</v>
      </c>
      <c r="L780">
        <v>0.63100000000000001</v>
      </c>
      <c r="M780">
        <v>0</v>
      </c>
      <c r="N780" s="3"/>
    </row>
    <row r="781" spans="1:14" x14ac:dyDescent="0.2">
      <c r="A781" t="s">
        <v>645</v>
      </c>
      <c r="B781">
        <v>2006</v>
      </c>
      <c r="C781">
        <v>64</v>
      </c>
      <c r="D781">
        <v>5</v>
      </c>
      <c r="E781" s="3">
        <v>0.52939999999999998</v>
      </c>
      <c r="F781" s="3"/>
      <c r="G781" s="3"/>
      <c r="H781" s="3"/>
      <c r="I781" s="3">
        <v>-0.95</v>
      </c>
      <c r="J781">
        <v>-10</v>
      </c>
      <c r="K781">
        <v>0</v>
      </c>
      <c r="L781">
        <v>0.58460000000000001</v>
      </c>
      <c r="M781">
        <v>0</v>
      </c>
      <c r="N781" s="3"/>
    </row>
    <row r="782" spans="1:14" x14ac:dyDescent="0.2">
      <c r="A782" t="s">
        <v>649</v>
      </c>
      <c r="B782">
        <v>2006</v>
      </c>
      <c r="C782">
        <v>64</v>
      </c>
      <c r="D782">
        <v>3</v>
      </c>
      <c r="E782" s="3">
        <v>5.6936099999999996</v>
      </c>
      <c r="F782" s="3"/>
      <c r="G782" s="3"/>
      <c r="H782" s="3"/>
      <c r="I782" s="3">
        <v>1.87</v>
      </c>
      <c r="J782">
        <v>20</v>
      </c>
      <c r="K782">
        <v>1</v>
      </c>
      <c r="L782">
        <v>0.5837</v>
      </c>
      <c r="M782">
        <v>0</v>
      </c>
      <c r="N782" s="3"/>
    </row>
    <row r="783" spans="1:14" x14ac:dyDescent="0.2">
      <c r="A783" t="s">
        <v>647</v>
      </c>
      <c r="B783">
        <v>2006</v>
      </c>
      <c r="C783">
        <v>64</v>
      </c>
      <c r="D783">
        <v>3</v>
      </c>
      <c r="E783" s="3">
        <v>4.5239000000000003</v>
      </c>
      <c r="F783" s="3"/>
      <c r="G783" s="3"/>
      <c r="H783" s="3"/>
      <c r="I783" s="3">
        <v>-4.72</v>
      </c>
      <c r="J783">
        <v>-5</v>
      </c>
      <c r="K783">
        <v>0</v>
      </c>
      <c r="L783">
        <v>0.62350000000000005</v>
      </c>
      <c r="M783">
        <v>0</v>
      </c>
      <c r="N783" s="3"/>
    </row>
    <row r="784" spans="1:14" x14ac:dyDescent="0.2">
      <c r="A784" t="s">
        <v>648</v>
      </c>
      <c r="B784">
        <v>2006</v>
      </c>
      <c r="C784">
        <v>64</v>
      </c>
      <c r="D784">
        <v>3</v>
      </c>
      <c r="E784" s="3">
        <v>3.4146000000000001</v>
      </c>
      <c r="F784" s="3"/>
      <c r="G784" s="3"/>
      <c r="H784" s="3"/>
      <c r="I784" s="3">
        <v>-4.1500000000000004</v>
      </c>
      <c r="J784">
        <v>5</v>
      </c>
      <c r="K784">
        <v>1</v>
      </c>
      <c r="L784">
        <v>0.63180000000000003</v>
      </c>
      <c r="M784">
        <v>0</v>
      </c>
      <c r="N784" s="3"/>
    </row>
    <row r="785" spans="1:14" x14ac:dyDescent="0.2">
      <c r="A785" t="s">
        <v>646</v>
      </c>
      <c r="B785">
        <v>2006</v>
      </c>
      <c r="C785">
        <v>64</v>
      </c>
      <c r="D785">
        <v>3</v>
      </c>
      <c r="E785" s="3">
        <v>-3.3107000000000002</v>
      </c>
      <c r="F785" s="3"/>
      <c r="G785" s="3"/>
      <c r="H785" s="3"/>
      <c r="I785" s="3">
        <v>6.46</v>
      </c>
      <c r="J785">
        <v>-6</v>
      </c>
      <c r="K785">
        <v>0</v>
      </c>
      <c r="L785">
        <v>0.51900000000000002</v>
      </c>
      <c r="M785">
        <v>0</v>
      </c>
      <c r="N785" s="3"/>
    </row>
    <row r="786" spans="1:14" x14ac:dyDescent="0.2">
      <c r="A786" t="s">
        <v>650</v>
      </c>
      <c r="B786">
        <v>2006</v>
      </c>
      <c r="C786">
        <v>64</v>
      </c>
      <c r="D786">
        <v>1</v>
      </c>
      <c r="E786" s="3">
        <v>3.4098999999999999</v>
      </c>
      <c r="F786" s="3"/>
      <c r="G786" s="3"/>
      <c r="H786" s="3"/>
      <c r="I786" s="3">
        <v>3.71</v>
      </c>
      <c r="J786">
        <v>5</v>
      </c>
      <c r="K786">
        <v>1</v>
      </c>
      <c r="L786">
        <v>0.64429999999999998</v>
      </c>
      <c r="M786">
        <v>0</v>
      </c>
      <c r="N786" s="3"/>
    </row>
    <row r="787" spans="1:14" x14ac:dyDescent="0.2">
      <c r="A787" t="s">
        <v>652</v>
      </c>
      <c r="B787">
        <v>2006</v>
      </c>
      <c r="C787">
        <v>64</v>
      </c>
      <c r="D787">
        <v>1</v>
      </c>
      <c r="E787" s="3">
        <v>5.5004</v>
      </c>
      <c r="F787" s="3"/>
      <c r="G787" s="3"/>
      <c r="H787" s="3"/>
      <c r="I787" s="3">
        <v>-5.96</v>
      </c>
      <c r="J787">
        <v>-4</v>
      </c>
      <c r="K787">
        <v>0</v>
      </c>
      <c r="L787">
        <v>0.72270000000000001</v>
      </c>
      <c r="M787">
        <v>0</v>
      </c>
      <c r="N787" s="3"/>
    </row>
    <row r="788" spans="1:14" x14ac:dyDescent="0.2">
      <c r="A788" t="s">
        <v>651</v>
      </c>
      <c r="B788">
        <v>2006</v>
      </c>
      <c r="C788">
        <v>64</v>
      </c>
      <c r="D788">
        <v>1</v>
      </c>
      <c r="E788" s="3">
        <v>-0.70779999999999998</v>
      </c>
      <c r="F788" s="3"/>
      <c r="G788" s="3"/>
      <c r="H788" s="3"/>
      <c r="I788" s="3">
        <v>6.02</v>
      </c>
      <c r="J788">
        <v>19</v>
      </c>
      <c r="K788">
        <v>1</v>
      </c>
      <c r="L788">
        <v>0.56559999999999999</v>
      </c>
      <c r="M788">
        <v>0</v>
      </c>
      <c r="N788" s="3"/>
    </row>
    <row r="789" spans="1:14" x14ac:dyDescent="0.2">
      <c r="A789" t="s">
        <v>653</v>
      </c>
      <c r="B789">
        <v>2006</v>
      </c>
      <c r="C789">
        <v>64</v>
      </c>
      <c r="D789">
        <v>1</v>
      </c>
      <c r="E789" s="3">
        <v>0.1353</v>
      </c>
      <c r="F789" s="3"/>
      <c r="G789" s="3"/>
      <c r="H789" s="3"/>
      <c r="I789" s="3">
        <v>-11.24</v>
      </c>
      <c r="J789">
        <v>3</v>
      </c>
      <c r="K789">
        <v>1</v>
      </c>
      <c r="L789">
        <v>0.46500000000000002</v>
      </c>
      <c r="M789">
        <v>0</v>
      </c>
      <c r="N789" s="3"/>
    </row>
    <row r="790" spans="1:14" x14ac:dyDescent="0.2">
      <c r="A790" t="s">
        <v>664</v>
      </c>
      <c r="B790">
        <v>2006</v>
      </c>
      <c r="C790">
        <v>32</v>
      </c>
      <c r="D790">
        <v>8</v>
      </c>
      <c r="E790" s="3">
        <v>12.18</v>
      </c>
      <c r="F790" s="3"/>
      <c r="G790" s="3"/>
      <c r="H790" s="3"/>
      <c r="I790" s="3">
        <v>-8.77</v>
      </c>
      <c r="J790">
        <v>22</v>
      </c>
      <c r="K790">
        <v>1</v>
      </c>
      <c r="L790">
        <v>0</v>
      </c>
      <c r="M790">
        <v>0</v>
      </c>
      <c r="N790" s="3"/>
    </row>
    <row r="791" spans="1:14" x14ac:dyDescent="0.2">
      <c r="A791" t="s">
        <v>661</v>
      </c>
      <c r="B791">
        <v>2006</v>
      </c>
      <c r="C791">
        <v>32</v>
      </c>
      <c r="D791">
        <v>8</v>
      </c>
      <c r="E791" s="3">
        <v>11.65</v>
      </c>
      <c r="F791" s="3"/>
      <c r="G791" s="3"/>
      <c r="H791" s="3"/>
      <c r="I791" s="3">
        <v>0.1</v>
      </c>
      <c r="J791">
        <v>3</v>
      </c>
      <c r="K791">
        <v>1</v>
      </c>
      <c r="L791">
        <v>0</v>
      </c>
      <c r="M791">
        <v>0</v>
      </c>
      <c r="N791" s="3"/>
    </row>
    <row r="792" spans="1:14" x14ac:dyDescent="0.2">
      <c r="A792" t="s">
        <v>660</v>
      </c>
      <c r="B792">
        <v>2006</v>
      </c>
      <c r="C792">
        <v>32</v>
      </c>
      <c r="D792">
        <v>8</v>
      </c>
      <c r="E792" s="3">
        <v>11.37</v>
      </c>
      <c r="F792" s="3"/>
      <c r="G792" s="3"/>
      <c r="H792" s="3"/>
      <c r="I792" s="3">
        <v>-4.16</v>
      </c>
      <c r="J792">
        <v>13</v>
      </c>
      <c r="K792">
        <v>1</v>
      </c>
      <c r="L792">
        <v>0</v>
      </c>
      <c r="M792">
        <v>0</v>
      </c>
      <c r="N792" s="3"/>
    </row>
    <row r="793" spans="1:14" x14ac:dyDescent="0.2">
      <c r="A793" t="s">
        <v>655</v>
      </c>
      <c r="B793">
        <v>2006</v>
      </c>
      <c r="C793">
        <v>32</v>
      </c>
      <c r="D793">
        <v>8</v>
      </c>
      <c r="E793" s="3">
        <v>8.9600000000000009</v>
      </c>
      <c r="F793" s="3"/>
      <c r="G793" s="3"/>
      <c r="H793" s="3"/>
      <c r="I793" s="3">
        <v>6.47</v>
      </c>
      <c r="J793">
        <v>21</v>
      </c>
      <c r="K793">
        <v>1</v>
      </c>
      <c r="L793">
        <v>0</v>
      </c>
      <c r="M793">
        <v>0</v>
      </c>
      <c r="N793" s="3"/>
    </row>
    <row r="794" spans="1:14" x14ac:dyDescent="0.2">
      <c r="A794" t="s">
        <v>659</v>
      </c>
      <c r="B794">
        <v>2006</v>
      </c>
      <c r="C794">
        <v>32</v>
      </c>
      <c r="D794">
        <v>8</v>
      </c>
      <c r="E794" s="3">
        <v>9.31</v>
      </c>
      <c r="F794" s="3"/>
      <c r="G794" s="3"/>
      <c r="H794" s="3"/>
      <c r="I794" s="3">
        <v>4.13</v>
      </c>
      <c r="J794">
        <v>16</v>
      </c>
      <c r="K794">
        <v>1</v>
      </c>
      <c r="L794">
        <v>0</v>
      </c>
      <c r="M794">
        <v>0</v>
      </c>
      <c r="N794" s="3"/>
    </row>
    <row r="795" spans="1:14" x14ac:dyDescent="0.2">
      <c r="A795" t="s">
        <v>665</v>
      </c>
      <c r="B795">
        <v>2006</v>
      </c>
      <c r="C795">
        <v>32</v>
      </c>
      <c r="D795">
        <v>8</v>
      </c>
      <c r="E795" s="3">
        <v>8.94</v>
      </c>
      <c r="F795" s="3"/>
      <c r="G795" s="3"/>
      <c r="H795" s="3"/>
      <c r="I795" s="3">
        <v>-3.19</v>
      </c>
      <c r="J795">
        <v>13</v>
      </c>
      <c r="K795">
        <v>1</v>
      </c>
      <c r="L795">
        <v>0</v>
      </c>
      <c r="M795">
        <v>0</v>
      </c>
      <c r="N795" s="3"/>
    </row>
    <row r="796" spans="1:14" x14ac:dyDescent="0.2">
      <c r="A796" t="s">
        <v>668</v>
      </c>
      <c r="B796">
        <v>2006</v>
      </c>
      <c r="C796">
        <v>32</v>
      </c>
      <c r="D796">
        <v>8</v>
      </c>
      <c r="E796" s="3">
        <v>5.41</v>
      </c>
      <c r="F796" s="3"/>
      <c r="G796" s="3"/>
      <c r="H796" s="3"/>
      <c r="I796" s="3">
        <v>0.75</v>
      </c>
      <c r="J796">
        <v>-5</v>
      </c>
      <c r="K796">
        <v>0</v>
      </c>
      <c r="L796">
        <v>0</v>
      </c>
      <c r="M796">
        <v>0</v>
      </c>
      <c r="N796" s="3"/>
    </row>
    <row r="797" spans="1:14" x14ac:dyDescent="0.2">
      <c r="A797" t="s">
        <v>658</v>
      </c>
      <c r="B797">
        <v>2006</v>
      </c>
      <c r="C797">
        <v>32</v>
      </c>
      <c r="D797">
        <v>8</v>
      </c>
      <c r="E797" s="3">
        <v>5.29</v>
      </c>
      <c r="F797" s="3"/>
      <c r="G797" s="3"/>
      <c r="H797" s="3"/>
      <c r="I797" s="3">
        <v>-1.31</v>
      </c>
      <c r="J797">
        <v>-6</v>
      </c>
      <c r="K797">
        <v>0</v>
      </c>
      <c r="L797">
        <v>0</v>
      </c>
      <c r="M797">
        <v>0</v>
      </c>
      <c r="N797" s="3"/>
    </row>
    <row r="798" spans="1:14" x14ac:dyDescent="0.2">
      <c r="A798" t="s">
        <v>657</v>
      </c>
      <c r="B798">
        <v>2006</v>
      </c>
      <c r="C798">
        <v>32</v>
      </c>
      <c r="D798">
        <v>8</v>
      </c>
      <c r="E798" s="3">
        <v>5.2</v>
      </c>
      <c r="F798" s="3"/>
      <c r="G798" s="3"/>
      <c r="H798" s="3"/>
      <c r="I798" s="3">
        <v>11.57</v>
      </c>
      <c r="J798">
        <v>1</v>
      </c>
      <c r="K798">
        <v>1</v>
      </c>
      <c r="L798">
        <v>0</v>
      </c>
      <c r="M798">
        <v>0</v>
      </c>
      <c r="N798" s="3"/>
    </row>
    <row r="799" spans="1:14" x14ac:dyDescent="0.2">
      <c r="A799" t="s">
        <v>654</v>
      </c>
      <c r="B799">
        <v>2006</v>
      </c>
      <c r="C799">
        <v>32</v>
      </c>
      <c r="D799">
        <v>7</v>
      </c>
      <c r="E799" s="3">
        <v>13.1</v>
      </c>
      <c r="F799" s="3"/>
      <c r="G799" s="3"/>
      <c r="H799" s="3"/>
      <c r="I799" s="3">
        <v>19.86</v>
      </c>
      <c r="J799">
        <v>13</v>
      </c>
      <c r="K799">
        <v>1</v>
      </c>
      <c r="L799">
        <v>0</v>
      </c>
      <c r="M799">
        <v>0</v>
      </c>
      <c r="N799" s="3"/>
    </row>
    <row r="800" spans="1:14" x14ac:dyDescent="0.2">
      <c r="A800" t="s">
        <v>662</v>
      </c>
      <c r="B800">
        <v>2006</v>
      </c>
      <c r="C800">
        <v>32</v>
      </c>
      <c r="D800">
        <v>7</v>
      </c>
      <c r="E800" s="3">
        <v>8.57</v>
      </c>
      <c r="F800" s="3"/>
      <c r="G800" s="3"/>
      <c r="H800" s="3"/>
      <c r="I800" s="3">
        <v>-6.05</v>
      </c>
      <c r="J800">
        <v>4</v>
      </c>
      <c r="K800">
        <v>1</v>
      </c>
      <c r="L800">
        <v>0</v>
      </c>
      <c r="M800">
        <v>0</v>
      </c>
      <c r="N800" s="3"/>
    </row>
    <row r="801" spans="1:14" x14ac:dyDescent="0.2">
      <c r="A801" t="s">
        <v>666</v>
      </c>
      <c r="B801">
        <v>2006</v>
      </c>
      <c r="C801">
        <v>32</v>
      </c>
      <c r="D801">
        <v>7</v>
      </c>
      <c r="E801" s="3">
        <v>9.68</v>
      </c>
      <c r="F801" s="3"/>
      <c r="G801" s="3"/>
      <c r="H801" s="3"/>
      <c r="I801" s="3">
        <v>-6.8</v>
      </c>
      <c r="J801">
        <v>4</v>
      </c>
      <c r="K801">
        <v>1</v>
      </c>
      <c r="L801">
        <v>0</v>
      </c>
      <c r="M801">
        <v>0</v>
      </c>
      <c r="N801" s="3"/>
    </row>
    <row r="802" spans="1:14" x14ac:dyDescent="0.2">
      <c r="A802" t="s">
        <v>667</v>
      </c>
      <c r="B802">
        <v>2006</v>
      </c>
      <c r="C802">
        <v>32</v>
      </c>
      <c r="D802">
        <v>5</v>
      </c>
      <c r="E802" s="3">
        <v>2.77</v>
      </c>
      <c r="F802" s="3"/>
      <c r="G802" s="3"/>
      <c r="H802" s="3"/>
      <c r="I802" s="3">
        <v>0.65</v>
      </c>
      <c r="J802">
        <v>-7</v>
      </c>
      <c r="K802">
        <v>0</v>
      </c>
      <c r="L802">
        <v>0</v>
      </c>
      <c r="M802">
        <v>0</v>
      </c>
      <c r="N802" s="3"/>
    </row>
    <row r="803" spans="1:14" x14ac:dyDescent="0.2">
      <c r="A803" t="s">
        <v>663</v>
      </c>
      <c r="B803">
        <v>2006</v>
      </c>
      <c r="C803">
        <v>32</v>
      </c>
      <c r="D803">
        <v>5</v>
      </c>
      <c r="E803" s="3">
        <v>2.11</v>
      </c>
      <c r="F803" s="3"/>
      <c r="G803" s="3"/>
      <c r="H803" s="3"/>
      <c r="I803" s="3">
        <v>3.1</v>
      </c>
      <c r="J803">
        <v>-18</v>
      </c>
      <c r="K803">
        <v>0</v>
      </c>
      <c r="L803">
        <v>0</v>
      </c>
      <c r="M803">
        <v>0</v>
      </c>
      <c r="N803" s="3"/>
    </row>
    <row r="804" spans="1:14" x14ac:dyDescent="0.2">
      <c r="A804" t="s">
        <v>656</v>
      </c>
      <c r="B804">
        <v>2006</v>
      </c>
      <c r="C804">
        <v>32</v>
      </c>
      <c r="D804">
        <v>3</v>
      </c>
      <c r="E804" s="3">
        <v>-1.59</v>
      </c>
      <c r="F804" s="3"/>
      <c r="G804" s="3"/>
      <c r="H804" s="3"/>
      <c r="I804" s="3">
        <v>8.65</v>
      </c>
      <c r="J804">
        <v>10</v>
      </c>
      <c r="K804">
        <v>1</v>
      </c>
      <c r="L804">
        <v>0</v>
      </c>
      <c r="M804">
        <v>0</v>
      </c>
      <c r="N804" s="3"/>
    </row>
    <row r="805" spans="1:14" x14ac:dyDescent="0.2">
      <c r="A805" t="s">
        <v>669</v>
      </c>
      <c r="B805">
        <v>2006</v>
      </c>
      <c r="C805">
        <v>32</v>
      </c>
      <c r="D805">
        <v>1</v>
      </c>
      <c r="E805" s="3">
        <v>4.08</v>
      </c>
      <c r="F805" s="3"/>
      <c r="G805" s="3"/>
      <c r="H805" s="3"/>
      <c r="I805" s="3">
        <v>1.38</v>
      </c>
      <c r="J805">
        <v>-3</v>
      </c>
      <c r="K805">
        <v>0</v>
      </c>
      <c r="L805">
        <v>0</v>
      </c>
      <c r="M805">
        <v>0</v>
      </c>
      <c r="N805" s="3"/>
    </row>
    <row r="806" spans="1:14" x14ac:dyDescent="0.2">
      <c r="A806" t="s">
        <v>671</v>
      </c>
      <c r="B806">
        <v>2006</v>
      </c>
      <c r="C806">
        <v>16</v>
      </c>
      <c r="D806">
        <v>12</v>
      </c>
      <c r="E806" s="3">
        <v>6.04</v>
      </c>
      <c r="F806" s="3"/>
      <c r="G806" s="3"/>
      <c r="H806" s="3"/>
      <c r="I806" s="3">
        <v>10.66</v>
      </c>
      <c r="J806">
        <v>16</v>
      </c>
      <c r="K806">
        <v>1</v>
      </c>
      <c r="L806">
        <v>0</v>
      </c>
      <c r="M806">
        <v>0</v>
      </c>
      <c r="N806" s="3"/>
    </row>
    <row r="807" spans="1:14" x14ac:dyDescent="0.2">
      <c r="A807" t="s">
        <v>674</v>
      </c>
      <c r="B807">
        <v>2006</v>
      </c>
      <c r="C807">
        <v>16</v>
      </c>
      <c r="D807">
        <v>4</v>
      </c>
      <c r="E807" s="3">
        <v>7.03</v>
      </c>
      <c r="F807" s="3"/>
      <c r="G807" s="3"/>
      <c r="H807" s="3"/>
      <c r="I807" s="3">
        <v>1.24</v>
      </c>
      <c r="J807">
        <v>3</v>
      </c>
      <c r="K807">
        <v>1</v>
      </c>
      <c r="L807">
        <v>0</v>
      </c>
      <c r="M807">
        <v>0</v>
      </c>
      <c r="N807" s="3"/>
    </row>
    <row r="808" spans="1:14" x14ac:dyDescent="0.2">
      <c r="A808" t="s">
        <v>673</v>
      </c>
      <c r="B808">
        <v>2006</v>
      </c>
      <c r="C808">
        <v>16</v>
      </c>
      <c r="D808">
        <v>4</v>
      </c>
      <c r="E808" s="3">
        <v>5.9</v>
      </c>
      <c r="F808" s="3"/>
      <c r="G808" s="3"/>
      <c r="H808" s="3"/>
      <c r="I808" s="3">
        <v>1.1100000000000001</v>
      </c>
      <c r="J808">
        <v>6</v>
      </c>
      <c r="K808">
        <v>1</v>
      </c>
      <c r="L808">
        <v>0</v>
      </c>
      <c r="M808">
        <v>0</v>
      </c>
      <c r="N808" s="3"/>
    </row>
    <row r="809" spans="1:14" x14ac:dyDescent="0.2">
      <c r="A809" t="s">
        <v>676</v>
      </c>
      <c r="B809">
        <v>2006</v>
      </c>
      <c r="C809">
        <v>16</v>
      </c>
      <c r="D809">
        <v>4</v>
      </c>
      <c r="E809" s="3">
        <v>4.16</v>
      </c>
      <c r="F809" s="3"/>
      <c r="G809" s="3"/>
      <c r="H809" s="3"/>
      <c r="I809" s="3">
        <v>-2.4500000000000002</v>
      </c>
      <c r="J809">
        <v>4</v>
      </c>
      <c r="K809">
        <v>1</v>
      </c>
      <c r="L809">
        <v>0</v>
      </c>
      <c r="M809">
        <v>0</v>
      </c>
      <c r="N809" s="3"/>
    </row>
    <row r="810" spans="1:14" x14ac:dyDescent="0.2">
      <c r="A810" t="s">
        <v>677</v>
      </c>
      <c r="B810">
        <v>2006</v>
      </c>
      <c r="C810">
        <v>16</v>
      </c>
      <c r="D810">
        <v>4</v>
      </c>
      <c r="E810" s="3">
        <v>-1.42</v>
      </c>
      <c r="F810" s="3"/>
      <c r="G810" s="3"/>
      <c r="H810" s="3"/>
      <c r="I810" s="3">
        <v>0.03</v>
      </c>
      <c r="J810">
        <v>-8</v>
      </c>
      <c r="K810">
        <v>0</v>
      </c>
      <c r="L810">
        <v>0</v>
      </c>
      <c r="M810">
        <v>0</v>
      </c>
      <c r="N810" s="3"/>
    </row>
    <row r="811" spans="1:14" x14ac:dyDescent="0.2">
      <c r="A811" t="s">
        <v>670</v>
      </c>
      <c r="B811">
        <v>2006</v>
      </c>
      <c r="C811">
        <v>16</v>
      </c>
      <c r="D811">
        <v>3</v>
      </c>
      <c r="E811" s="3">
        <v>7.32</v>
      </c>
      <c r="F811" s="3"/>
      <c r="G811" s="3"/>
      <c r="H811" s="3"/>
      <c r="I811" s="3">
        <v>3.38</v>
      </c>
      <c r="J811">
        <v>-8</v>
      </c>
      <c r="K811">
        <v>0</v>
      </c>
      <c r="L811">
        <v>0</v>
      </c>
      <c r="M811">
        <v>0</v>
      </c>
      <c r="N811" s="3"/>
    </row>
    <row r="812" spans="1:14" x14ac:dyDescent="0.2">
      <c r="A812" t="s">
        <v>672</v>
      </c>
      <c r="B812">
        <v>2006</v>
      </c>
      <c r="C812">
        <v>16</v>
      </c>
      <c r="D812">
        <v>3</v>
      </c>
      <c r="E812" s="3">
        <v>7.13</v>
      </c>
      <c r="F812" s="3"/>
      <c r="G812" s="3"/>
      <c r="H812" s="3"/>
      <c r="I812" s="3">
        <v>7.73</v>
      </c>
      <c r="J812">
        <v>1</v>
      </c>
      <c r="K812">
        <v>1</v>
      </c>
      <c r="L812">
        <v>0</v>
      </c>
      <c r="M812">
        <v>0</v>
      </c>
      <c r="N812" s="3"/>
    </row>
    <row r="813" spans="1:14" x14ac:dyDescent="0.2">
      <c r="A813" t="s">
        <v>675</v>
      </c>
      <c r="B813">
        <v>2006</v>
      </c>
      <c r="C813">
        <v>16</v>
      </c>
      <c r="D813">
        <v>1</v>
      </c>
      <c r="E813" s="3">
        <v>7.71</v>
      </c>
      <c r="F813" s="3"/>
      <c r="G813" s="3"/>
      <c r="H813" s="3"/>
      <c r="I813" s="3">
        <v>-4.16</v>
      </c>
      <c r="J813">
        <v>2</v>
      </c>
      <c r="K813">
        <v>1</v>
      </c>
      <c r="L813">
        <v>0</v>
      </c>
      <c r="M813">
        <v>0</v>
      </c>
      <c r="N813" s="3"/>
    </row>
    <row r="814" spans="1:14" x14ac:dyDescent="0.2">
      <c r="A814" t="s">
        <v>680</v>
      </c>
      <c r="B814">
        <v>2006</v>
      </c>
      <c r="C814">
        <v>8</v>
      </c>
      <c r="D814">
        <v>10</v>
      </c>
      <c r="E814" s="3">
        <v>7.53</v>
      </c>
      <c r="F814" s="3"/>
      <c r="G814" s="3"/>
      <c r="H814" s="3"/>
      <c r="I814" s="3">
        <v>-3.44</v>
      </c>
      <c r="J814">
        <v>-2</v>
      </c>
      <c r="K814">
        <v>0</v>
      </c>
      <c r="L814">
        <v>0</v>
      </c>
      <c r="M814">
        <v>0</v>
      </c>
      <c r="N814" s="3"/>
    </row>
    <row r="815" spans="1:14" x14ac:dyDescent="0.2">
      <c r="A815" t="s">
        <v>681</v>
      </c>
      <c r="B815">
        <v>2006</v>
      </c>
      <c r="C815">
        <v>8</v>
      </c>
      <c r="D815">
        <v>2</v>
      </c>
      <c r="E815" s="3">
        <v>4.8</v>
      </c>
      <c r="F815" s="3"/>
      <c r="G815" s="3"/>
      <c r="H815" s="3"/>
      <c r="I815" s="3">
        <v>-1.97</v>
      </c>
      <c r="J815">
        <v>-10</v>
      </c>
      <c r="K815">
        <v>0</v>
      </c>
      <c r="L815">
        <v>0</v>
      </c>
      <c r="M815">
        <v>0</v>
      </c>
      <c r="N815" s="3"/>
    </row>
    <row r="816" spans="1:14" x14ac:dyDescent="0.2">
      <c r="A816" t="s">
        <v>679</v>
      </c>
      <c r="B816">
        <v>2006</v>
      </c>
      <c r="C816">
        <v>8</v>
      </c>
      <c r="D816">
        <v>2</v>
      </c>
      <c r="E816" s="3">
        <v>-0.53</v>
      </c>
      <c r="F816" s="3"/>
      <c r="G816" s="3"/>
      <c r="H816" s="3"/>
      <c r="I816" s="3">
        <v>8.65</v>
      </c>
      <c r="J816">
        <v>-7</v>
      </c>
      <c r="K816">
        <v>0</v>
      </c>
      <c r="L816">
        <v>0</v>
      </c>
      <c r="M816">
        <v>0</v>
      </c>
      <c r="N816" s="3"/>
    </row>
    <row r="817" spans="1:14" x14ac:dyDescent="0.2">
      <c r="A817" t="s">
        <v>678</v>
      </c>
      <c r="B817">
        <v>2006</v>
      </c>
      <c r="C817">
        <v>8</v>
      </c>
      <c r="D817">
        <v>1</v>
      </c>
      <c r="E817" s="3">
        <v>0.88</v>
      </c>
      <c r="F817" s="3"/>
      <c r="G817" s="3"/>
      <c r="H817" s="3"/>
      <c r="I817" s="3">
        <v>3.69</v>
      </c>
      <c r="J817">
        <v>-5</v>
      </c>
      <c r="K817">
        <v>0</v>
      </c>
      <c r="L817">
        <v>0</v>
      </c>
      <c r="M817">
        <v>0</v>
      </c>
      <c r="N817" s="3"/>
    </row>
    <row r="818" spans="1:14" x14ac:dyDescent="0.2">
      <c r="A818" t="s">
        <v>683</v>
      </c>
      <c r="B818">
        <v>2006</v>
      </c>
      <c r="C818">
        <v>4</v>
      </c>
      <c r="D818">
        <v>8</v>
      </c>
      <c r="E818" s="3">
        <v>8.31</v>
      </c>
      <c r="F818" s="3"/>
      <c r="G818" s="3"/>
      <c r="H818" s="3"/>
      <c r="I818" s="3">
        <v>-6.7</v>
      </c>
      <c r="J818">
        <v>15</v>
      </c>
      <c r="K818">
        <v>1</v>
      </c>
      <c r="L818">
        <v>0</v>
      </c>
      <c r="M818">
        <v>0</v>
      </c>
      <c r="N818" s="3"/>
    </row>
    <row r="819" spans="1:14" x14ac:dyDescent="0.2">
      <c r="A819" t="s">
        <v>682</v>
      </c>
      <c r="B819">
        <v>2006</v>
      </c>
      <c r="C819">
        <v>4</v>
      </c>
      <c r="D819">
        <v>2</v>
      </c>
      <c r="E819" s="3">
        <v>0.67</v>
      </c>
      <c r="F819" s="3"/>
      <c r="G819" s="3"/>
      <c r="H819" s="3"/>
      <c r="I819" s="3">
        <v>0.79</v>
      </c>
      <c r="J819">
        <v>14</v>
      </c>
      <c r="K819">
        <v>1</v>
      </c>
      <c r="L819">
        <v>0</v>
      </c>
      <c r="M819">
        <v>0</v>
      </c>
      <c r="N819" s="3"/>
    </row>
    <row r="820" spans="1:14" x14ac:dyDescent="0.2">
      <c r="A820" t="s">
        <v>684</v>
      </c>
      <c r="B820">
        <v>2006</v>
      </c>
      <c r="C820">
        <v>2</v>
      </c>
      <c r="D820">
        <v>1</v>
      </c>
      <c r="E820" s="3">
        <v>-3.35</v>
      </c>
      <c r="F820" s="3"/>
      <c r="G820" s="3"/>
      <c r="H820" s="3"/>
      <c r="I820" s="3">
        <v>10.32</v>
      </c>
      <c r="J820">
        <v>-16</v>
      </c>
      <c r="K820">
        <v>0</v>
      </c>
      <c r="L820">
        <v>0</v>
      </c>
      <c r="M820">
        <v>0</v>
      </c>
      <c r="N820" s="3"/>
    </row>
    <row r="821" spans="1:14" x14ac:dyDescent="0.2">
      <c r="A821" t="s">
        <v>707</v>
      </c>
      <c r="B821">
        <v>2005</v>
      </c>
      <c r="C821">
        <v>64</v>
      </c>
      <c r="D821">
        <v>15</v>
      </c>
      <c r="E821" s="3">
        <v>36.389749999999999</v>
      </c>
      <c r="F821" s="3"/>
      <c r="G821" s="3"/>
      <c r="H821" s="3"/>
      <c r="I821" s="3">
        <v>3.78</v>
      </c>
      <c r="J821">
        <v>12</v>
      </c>
      <c r="K821">
        <v>1</v>
      </c>
      <c r="L821">
        <v>0</v>
      </c>
      <c r="M821">
        <v>0</v>
      </c>
      <c r="N821" s="3"/>
    </row>
    <row r="822" spans="1:14" x14ac:dyDescent="0.2">
      <c r="A822" t="s">
        <v>691</v>
      </c>
      <c r="B822">
        <v>2005</v>
      </c>
      <c r="C822">
        <v>64</v>
      </c>
      <c r="D822">
        <v>15</v>
      </c>
      <c r="E822" s="3">
        <v>32.983474000000001</v>
      </c>
      <c r="F822" s="3"/>
      <c r="G822" s="3"/>
      <c r="H822" s="3"/>
      <c r="I822" s="3">
        <v>-4.49</v>
      </c>
      <c r="J822">
        <v>32</v>
      </c>
      <c r="K822">
        <v>1</v>
      </c>
      <c r="L822">
        <v>0</v>
      </c>
      <c r="M822">
        <v>0</v>
      </c>
      <c r="N822" s="3"/>
    </row>
    <row r="823" spans="1:14" x14ac:dyDescent="0.2">
      <c r="A823" t="s">
        <v>716</v>
      </c>
      <c r="B823">
        <v>2005</v>
      </c>
      <c r="C823">
        <v>64</v>
      </c>
      <c r="D823">
        <v>15</v>
      </c>
      <c r="E823" s="3">
        <v>25.68937</v>
      </c>
      <c r="F823" s="3"/>
      <c r="G823" s="3"/>
      <c r="H823" s="3"/>
      <c r="I823" s="3">
        <v>4.9800000000000004</v>
      </c>
      <c r="J823">
        <v>11</v>
      </c>
      <c r="K823">
        <v>1</v>
      </c>
      <c r="L823">
        <v>0</v>
      </c>
      <c r="M823">
        <v>0</v>
      </c>
      <c r="N823" s="3"/>
    </row>
    <row r="824" spans="1:14" x14ac:dyDescent="0.2">
      <c r="A824" t="s">
        <v>692</v>
      </c>
      <c r="B824">
        <v>2005</v>
      </c>
      <c r="C824">
        <v>64</v>
      </c>
      <c r="D824">
        <v>15</v>
      </c>
      <c r="E824" s="3">
        <v>34.03396</v>
      </c>
      <c r="F824" s="3"/>
      <c r="G824" s="3"/>
      <c r="H824" s="3"/>
      <c r="I824" s="3">
        <v>-0.82</v>
      </c>
      <c r="J824">
        <v>11</v>
      </c>
      <c r="K824">
        <v>1</v>
      </c>
      <c r="L824">
        <v>0</v>
      </c>
      <c r="M824">
        <v>0</v>
      </c>
      <c r="N824" s="3"/>
    </row>
    <row r="825" spans="1:14" x14ac:dyDescent="0.2">
      <c r="A825" t="s">
        <v>708</v>
      </c>
      <c r="B825">
        <v>2005</v>
      </c>
      <c r="C825">
        <v>64</v>
      </c>
      <c r="D825">
        <v>13</v>
      </c>
      <c r="E825" s="3">
        <v>22.59018</v>
      </c>
      <c r="F825" s="3"/>
      <c r="G825" s="3"/>
      <c r="H825" s="3"/>
      <c r="I825" s="3">
        <v>12.25</v>
      </c>
      <c r="J825">
        <v>13</v>
      </c>
      <c r="K825">
        <v>1</v>
      </c>
      <c r="L825">
        <v>0</v>
      </c>
      <c r="M825">
        <v>0</v>
      </c>
      <c r="N825" s="3"/>
    </row>
    <row r="826" spans="1:14" x14ac:dyDescent="0.2">
      <c r="A826" t="s">
        <v>693</v>
      </c>
      <c r="B826">
        <v>2005</v>
      </c>
      <c r="C826">
        <v>64</v>
      </c>
      <c r="D826">
        <v>13</v>
      </c>
      <c r="E826" s="3">
        <v>26.093859999999999</v>
      </c>
      <c r="F826" s="3"/>
      <c r="G826" s="3"/>
      <c r="H826" s="3"/>
      <c r="I826" s="3">
        <v>4.71</v>
      </c>
      <c r="J826">
        <v>6</v>
      </c>
      <c r="K826">
        <v>1</v>
      </c>
      <c r="L826">
        <v>0</v>
      </c>
      <c r="M826">
        <v>0</v>
      </c>
      <c r="N826" s="3"/>
    </row>
    <row r="827" spans="1:14" x14ac:dyDescent="0.2">
      <c r="A827" t="s">
        <v>717</v>
      </c>
      <c r="B827">
        <v>2005</v>
      </c>
      <c r="C827">
        <v>64</v>
      </c>
      <c r="D827">
        <v>13</v>
      </c>
      <c r="E827" s="3">
        <v>26.356186000000001</v>
      </c>
      <c r="F827" s="3"/>
      <c r="G827" s="3"/>
      <c r="H827" s="3"/>
      <c r="I827" s="3">
        <v>3.9</v>
      </c>
      <c r="J827">
        <v>16</v>
      </c>
      <c r="K827">
        <v>1</v>
      </c>
      <c r="L827">
        <v>0</v>
      </c>
      <c r="M827">
        <v>0</v>
      </c>
      <c r="N827" s="3"/>
    </row>
    <row r="828" spans="1:14" x14ac:dyDescent="0.2">
      <c r="A828" t="s">
        <v>700</v>
      </c>
      <c r="B828">
        <v>2005</v>
      </c>
      <c r="C828">
        <v>64</v>
      </c>
      <c r="D828">
        <v>13</v>
      </c>
      <c r="E828" s="3">
        <v>22.58644</v>
      </c>
      <c r="F828" s="3"/>
      <c r="G828" s="3"/>
      <c r="H828" s="3"/>
      <c r="I828" s="3">
        <v>4.9800000000000004</v>
      </c>
      <c r="J828">
        <v>8</v>
      </c>
      <c r="K828">
        <v>1</v>
      </c>
      <c r="L828">
        <v>0</v>
      </c>
      <c r="M828">
        <v>0</v>
      </c>
      <c r="N828" s="3"/>
    </row>
    <row r="829" spans="1:14" x14ac:dyDescent="0.2">
      <c r="A829" t="s">
        <v>701</v>
      </c>
      <c r="B829">
        <v>2005</v>
      </c>
      <c r="C829">
        <v>64</v>
      </c>
      <c r="D829">
        <v>11</v>
      </c>
      <c r="E829" s="3">
        <v>18.152229999999999</v>
      </c>
      <c r="F829" s="3"/>
      <c r="G829" s="3"/>
      <c r="H829" s="3"/>
      <c r="I829" s="3">
        <v>1.75</v>
      </c>
      <c r="J829">
        <v>17</v>
      </c>
      <c r="K829">
        <v>1</v>
      </c>
      <c r="L829">
        <v>0</v>
      </c>
      <c r="M829">
        <v>0</v>
      </c>
      <c r="N829" s="3"/>
    </row>
    <row r="830" spans="1:14" x14ac:dyDescent="0.2">
      <c r="A830" t="s">
        <v>718</v>
      </c>
      <c r="B830">
        <v>2005</v>
      </c>
      <c r="C830">
        <v>64</v>
      </c>
      <c r="D830">
        <v>11</v>
      </c>
      <c r="E830" s="3">
        <v>13.431150000000001</v>
      </c>
      <c r="F830" s="3"/>
      <c r="G830" s="3"/>
      <c r="H830" s="3"/>
      <c r="I830" s="3">
        <v>3.89</v>
      </c>
      <c r="J830">
        <v>10</v>
      </c>
      <c r="K830">
        <v>1</v>
      </c>
      <c r="L830">
        <v>0</v>
      </c>
      <c r="M830">
        <v>0</v>
      </c>
      <c r="N830" s="3"/>
    </row>
    <row r="831" spans="1:14" x14ac:dyDescent="0.2">
      <c r="A831" t="s">
        <v>694</v>
      </c>
      <c r="B831">
        <v>2005</v>
      </c>
      <c r="C831">
        <v>64</v>
      </c>
      <c r="D831">
        <v>11</v>
      </c>
      <c r="E831" s="3">
        <v>18.086600000000001</v>
      </c>
      <c r="F831" s="3"/>
      <c r="G831" s="3"/>
      <c r="H831" s="3"/>
      <c r="I831" s="3">
        <v>1.19</v>
      </c>
      <c r="J831">
        <v>-1</v>
      </c>
      <c r="K831">
        <v>0</v>
      </c>
      <c r="L831">
        <v>0</v>
      </c>
      <c r="M831">
        <v>0</v>
      </c>
      <c r="N831" s="3"/>
    </row>
    <row r="832" spans="1:14" x14ac:dyDescent="0.2">
      <c r="A832" t="s">
        <v>709</v>
      </c>
      <c r="B832">
        <v>2005</v>
      </c>
      <c r="C832">
        <v>64</v>
      </c>
      <c r="D832">
        <v>11</v>
      </c>
      <c r="E832" s="3">
        <v>0.35899999999999999</v>
      </c>
      <c r="F832" s="3"/>
      <c r="G832" s="3"/>
      <c r="H832" s="3"/>
      <c r="I832" s="3">
        <v>7.67</v>
      </c>
      <c r="J832">
        <v>13</v>
      </c>
      <c r="K832">
        <v>1</v>
      </c>
      <c r="L832">
        <v>0</v>
      </c>
      <c r="M832">
        <v>0</v>
      </c>
      <c r="N832" s="3"/>
    </row>
    <row r="833" spans="1:14" x14ac:dyDescent="0.2">
      <c r="A833" t="s">
        <v>695</v>
      </c>
      <c r="B833">
        <v>2005</v>
      </c>
      <c r="C833">
        <v>64</v>
      </c>
      <c r="D833">
        <v>9</v>
      </c>
      <c r="E833" s="3">
        <v>16.845389999999998</v>
      </c>
      <c r="F833" s="3"/>
      <c r="G833" s="3"/>
      <c r="H833" s="3"/>
      <c r="I833" s="3">
        <v>3.46</v>
      </c>
      <c r="J833">
        <v>5</v>
      </c>
      <c r="K833">
        <v>1</v>
      </c>
      <c r="L833">
        <v>0</v>
      </c>
      <c r="M833">
        <v>0</v>
      </c>
      <c r="N833" s="3"/>
    </row>
    <row r="834" spans="1:14" x14ac:dyDescent="0.2">
      <c r="A834" t="s">
        <v>719</v>
      </c>
      <c r="B834">
        <v>2005</v>
      </c>
      <c r="C834">
        <v>64</v>
      </c>
      <c r="D834">
        <v>9</v>
      </c>
      <c r="E834" s="3">
        <v>15.05072</v>
      </c>
      <c r="F834" s="3"/>
      <c r="G834" s="3"/>
      <c r="H834" s="3"/>
      <c r="I834" s="3">
        <v>-4.9000000000000004</v>
      </c>
      <c r="J834">
        <v>6</v>
      </c>
      <c r="K834">
        <v>1</v>
      </c>
      <c r="L834">
        <v>0</v>
      </c>
      <c r="M834">
        <v>0</v>
      </c>
      <c r="N834" s="3"/>
    </row>
    <row r="835" spans="1:14" x14ac:dyDescent="0.2">
      <c r="A835" t="s">
        <v>710</v>
      </c>
      <c r="B835">
        <v>2005</v>
      </c>
      <c r="C835">
        <v>64</v>
      </c>
      <c r="D835">
        <v>9</v>
      </c>
      <c r="E835" s="3">
        <v>7.8467000000000002</v>
      </c>
      <c r="F835" s="3"/>
      <c r="G835" s="3"/>
      <c r="H835" s="3"/>
      <c r="I835" s="3">
        <v>-3.07</v>
      </c>
      <c r="J835">
        <v>20</v>
      </c>
      <c r="K835">
        <v>1</v>
      </c>
      <c r="L835">
        <v>0</v>
      </c>
      <c r="M835">
        <v>0</v>
      </c>
      <c r="N835" s="3"/>
    </row>
    <row r="836" spans="1:14" x14ac:dyDescent="0.2">
      <c r="A836" t="s">
        <v>702</v>
      </c>
      <c r="B836">
        <v>2005</v>
      </c>
      <c r="C836">
        <v>64</v>
      </c>
      <c r="D836">
        <v>9</v>
      </c>
      <c r="E836" s="3">
        <v>7.7382</v>
      </c>
      <c r="F836" s="3"/>
      <c r="G836" s="3"/>
      <c r="H836" s="3"/>
      <c r="I836" s="3">
        <v>-3.55</v>
      </c>
      <c r="J836">
        <v>-3</v>
      </c>
      <c r="K836">
        <v>0</v>
      </c>
      <c r="L836">
        <v>0</v>
      </c>
      <c r="M836">
        <v>0</v>
      </c>
      <c r="N836" s="3"/>
    </row>
    <row r="837" spans="1:14" x14ac:dyDescent="0.2">
      <c r="A837" t="s">
        <v>703</v>
      </c>
      <c r="B837">
        <v>2005</v>
      </c>
      <c r="C837">
        <v>64</v>
      </c>
      <c r="D837">
        <v>7</v>
      </c>
      <c r="E837" s="3">
        <v>15.6172</v>
      </c>
      <c r="F837" s="3"/>
      <c r="G837" s="3"/>
      <c r="H837" s="3"/>
      <c r="I837" s="3">
        <v>4.18</v>
      </c>
      <c r="J837">
        <v>8</v>
      </c>
      <c r="K837">
        <v>1</v>
      </c>
      <c r="L837">
        <v>0</v>
      </c>
      <c r="M837">
        <v>0</v>
      </c>
      <c r="N837" s="3"/>
    </row>
    <row r="838" spans="1:14" x14ac:dyDescent="0.2">
      <c r="A838" t="s">
        <v>696</v>
      </c>
      <c r="B838">
        <v>2005</v>
      </c>
      <c r="C838">
        <v>64</v>
      </c>
      <c r="D838">
        <v>7</v>
      </c>
      <c r="E838" s="3">
        <v>8.1560000000000006</v>
      </c>
      <c r="F838" s="3"/>
      <c r="G838" s="3"/>
      <c r="H838" s="3"/>
      <c r="I838" s="3">
        <v>10.26</v>
      </c>
      <c r="J838">
        <v>8</v>
      </c>
      <c r="K838">
        <v>1</v>
      </c>
      <c r="L838">
        <v>0</v>
      </c>
      <c r="M838">
        <v>0</v>
      </c>
      <c r="N838" s="3"/>
    </row>
    <row r="839" spans="1:14" x14ac:dyDescent="0.2">
      <c r="A839" t="s">
        <v>711</v>
      </c>
      <c r="B839">
        <v>2005</v>
      </c>
      <c r="C839">
        <v>64</v>
      </c>
      <c r="D839">
        <v>7</v>
      </c>
      <c r="E839" s="3">
        <v>8.5068999999999999</v>
      </c>
      <c r="F839" s="3"/>
      <c r="G839" s="3"/>
      <c r="H839" s="3"/>
      <c r="I839" s="3">
        <v>-2.4500000000000002</v>
      </c>
      <c r="J839">
        <v>-10</v>
      </c>
      <c r="K839">
        <v>0</v>
      </c>
      <c r="L839">
        <v>0</v>
      </c>
      <c r="M839">
        <v>0</v>
      </c>
      <c r="N839" s="3"/>
    </row>
    <row r="840" spans="1:14" x14ac:dyDescent="0.2">
      <c r="A840" t="s">
        <v>720</v>
      </c>
      <c r="B840">
        <v>2005</v>
      </c>
      <c r="C840">
        <v>64</v>
      </c>
      <c r="D840">
        <v>7</v>
      </c>
      <c r="E840" s="3">
        <v>5.6435000000000004</v>
      </c>
      <c r="F840" s="3"/>
      <c r="G840" s="3"/>
      <c r="H840" s="3"/>
      <c r="I840" s="3">
        <v>-1.95</v>
      </c>
      <c r="J840">
        <v>12</v>
      </c>
      <c r="K840">
        <v>1</v>
      </c>
      <c r="L840">
        <v>0</v>
      </c>
      <c r="M840">
        <v>0</v>
      </c>
      <c r="N840" s="3"/>
    </row>
    <row r="841" spans="1:14" x14ac:dyDescent="0.2">
      <c r="A841" t="s">
        <v>704</v>
      </c>
      <c r="B841">
        <v>2005</v>
      </c>
      <c r="C841">
        <v>64</v>
      </c>
      <c r="D841">
        <v>5</v>
      </c>
      <c r="E841" s="3">
        <v>8.3999000000000006</v>
      </c>
      <c r="F841" s="3"/>
      <c r="G841" s="3"/>
      <c r="H841" s="3"/>
      <c r="I841" s="3">
        <v>1.1100000000000001</v>
      </c>
      <c r="J841">
        <v>6</v>
      </c>
      <c r="K841">
        <v>1</v>
      </c>
      <c r="L841">
        <v>0</v>
      </c>
      <c r="M841">
        <v>0</v>
      </c>
      <c r="N841" s="3"/>
    </row>
    <row r="842" spans="1:14" x14ac:dyDescent="0.2">
      <c r="A842" t="s">
        <v>697</v>
      </c>
      <c r="B842">
        <v>2005</v>
      </c>
      <c r="C842">
        <v>64</v>
      </c>
      <c r="D842">
        <v>5</v>
      </c>
      <c r="E842" s="3">
        <v>6.9641000000000002</v>
      </c>
      <c r="F842" s="3"/>
      <c r="G842" s="3"/>
      <c r="H842" s="3"/>
      <c r="I842" s="3">
        <v>1.93</v>
      </c>
      <c r="J842">
        <v>5</v>
      </c>
      <c r="K842">
        <v>1</v>
      </c>
      <c r="L842">
        <v>0</v>
      </c>
      <c r="M842">
        <v>0</v>
      </c>
      <c r="N842" s="3"/>
    </row>
    <row r="843" spans="1:14" x14ac:dyDescent="0.2">
      <c r="A843" t="s">
        <v>712</v>
      </c>
      <c r="B843">
        <v>2005</v>
      </c>
      <c r="C843">
        <v>64</v>
      </c>
      <c r="D843">
        <v>5</v>
      </c>
      <c r="E843" s="3">
        <v>2.2105000000000001</v>
      </c>
      <c r="F843" s="3"/>
      <c r="G843" s="3"/>
      <c r="H843" s="3"/>
      <c r="I843" s="3">
        <v>1.0900000000000001</v>
      </c>
      <c r="J843">
        <v>-14</v>
      </c>
      <c r="K843">
        <v>0</v>
      </c>
      <c r="L843">
        <v>0</v>
      </c>
      <c r="M843">
        <v>0</v>
      </c>
      <c r="N843" s="3"/>
    </row>
    <row r="844" spans="1:14" x14ac:dyDescent="0.2">
      <c r="A844" t="s">
        <v>721</v>
      </c>
      <c r="B844">
        <v>2005</v>
      </c>
      <c r="C844">
        <v>64</v>
      </c>
      <c r="D844">
        <v>5</v>
      </c>
      <c r="E844" s="3">
        <v>4.1782000000000004</v>
      </c>
      <c r="F844" s="3"/>
      <c r="G844" s="3"/>
      <c r="H844" s="3"/>
      <c r="I844" s="3">
        <v>-3.99</v>
      </c>
      <c r="J844">
        <v>12</v>
      </c>
      <c r="K844">
        <v>1</v>
      </c>
      <c r="L844">
        <v>0</v>
      </c>
      <c r="M844">
        <v>0</v>
      </c>
      <c r="N844" s="3"/>
    </row>
    <row r="845" spans="1:14" x14ac:dyDescent="0.2">
      <c r="A845" t="s">
        <v>713</v>
      </c>
      <c r="B845">
        <v>2005</v>
      </c>
      <c r="C845">
        <v>64</v>
      </c>
      <c r="D845">
        <v>3</v>
      </c>
      <c r="E845" s="3">
        <v>6.7311300000000003</v>
      </c>
      <c r="F845" s="3"/>
      <c r="G845" s="3"/>
      <c r="H845" s="3"/>
      <c r="I845" s="3">
        <v>3.87</v>
      </c>
      <c r="J845">
        <v>9</v>
      </c>
      <c r="K845">
        <v>1</v>
      </c>
      <c r="L845">
        <v>0</v>
      </c>
      <c r="M845">
        <v>0</v>
      </c>
      <c r="N845" s="3"/>
    </row>
    <row r="846" spans="1:14" x14ac:dyDescent="0.2">
      <c r="A846" t="s">
        <v>705</v>
      </c>
      <c r="B846">
        <v>2005</v>
      </c>
      <c r="C846">
        <v>64</v>
      </c>
      <c r="D846">
        <v>3</v>
      </c>
      <c r="E846" s="3">
        <v>2.3193000000000001</v>
      </c>
      <c r="F846" s="3"/>
      <c r="G846" s="3"/>
      <c r="H846" s="3"/>
      <c r="I846" s="3">
        <v>-2.02</v>
      </c>
      <c r="J846">
        <v>12</v>
      </c>
      <c r="K846">
        <v>1</v>
      </c>
      <c r="L846">
        <v>0</v>
      </c>
      <c r="M846">
        <v>0</v>
      </c>
      <c r="N846" s="3"/>
    </row>
    <row r="847" spans="1:14" x14ac:dyDescent="0.2">
      <c r="A847" t="s">
        <v>722</v>
      </c>
      <c r="B847">
        <v>2005</v>
      </c>
      <c r="C847">
        <v>64</v>
      </c>
      <c r="D847">
        <v>3</v>
      </c>
      <c r="E847" s="3">
        <v>-0.57930000000000004</v>
      </c>
      <c r="F847" s="3"/>
      <c r="G847" s="3"/>
      <c r="H847" s="3"/>
      <c r="I847" s="3">
        <v>-5.03</v>
      </c>
      <c r="J847">
        <v>2</v>
      </c>
      <c r="K847">
        <v>1</v>
      </c>
      <c r="L847">
        <v>0</v>
      </c>
      <c r="M847">
        <v>0</v>
      </c>
      <c r="N847" s="3"/>
    </row>
    <row r="848" spans="1:14" x14ac:dyDescent="0.2">
      <c r="A848" t="s">
        <v>698</v>
      </c>
      <c r="B848">
        <v>2005</v>
      </c>
      <c r="C848">
        <v>64</v>
      </c>
      <c r="D848">
        <v>3</v>
      </c>
      <c r="E848" s="3">
        <v>-6.7347000000000001</v>
      </c>
      <c r="F848" s="3"/>
      <c r="G848" s="3"/>
      <c r="H848" s="3"/>
      <c r="I848" s="3">
        <v>0.55000000000000004</v>
      </c>
      <c r="J848">
        <v>-12</v>
      </c>
      <c r="K848">
        <v>0</v>
      </c>
      <c r="L848">
        <v>0</v>
      </c>
      <c r="M848">
        <v>0</v>
      </c>
      <c r="N848" s="3"/>
    </row>
    <row r="849" spans="1:14" x14ac:dyDescent="0.2">
      <c r="A849" t="s">
        <v>714</v>
      </c>
      <c r="B849">
        <v>2005</v>
      </c>
      <c r="C849">
        <v>64</v>
      </c>
      <c r="D849">
        <v>1</v>
      </c>
      <c r="E849" s="3">
        <v>6.2386999999999997</v>
      </c>
      <c r="F849" s="3"/>
      <c r="G849" s="3"/>
      <c r="H849" s="3"/>
      <c r="I849" s="3">
        <v>-0.87</v>
      </c>
      <c r="J849">
        <v>-4</v>
      </c>
      <c r="K849">
        <v>0</v>
      </c>
      <c r="L849">
        <v>0</v>
      </c>
      <c r="M849">
        <v>0</v>
      </c>
      <c r="N849" s="3"/>
    </row>
    <row r="850" spans="1:14" x14ac:dyDescent="0.2">
      <c r="A850" t="s">
        <v>699</v>
      </c>
      <c r="B850">
        <v>2005</v>
      </c>
      <c r="C850">
        <v>64</v>
      </c>
      <c r="D850">
        <v>1</v>
      </c>
      <c r="E850" s="3">
        <v>2.0472000000000001</v>
      </c>
      <c r="F850" s="3"/>
      <c r="G850" s="3"/>
      <c r="H850" s="3"/>
      <c r="I850" s="3">
        <v>-0.26</v>
      </c>
      <c r="J850">
        <v>-11</v>
      </c>
      <c r="K850">
        <v>0</v>
      </c>
      <c r="L850">
        <v>0</v>
      </c>
      <c r="M850">
        <v>0</v>
      </c>
      <c r="N850" s="3"/>
    </row>
    <row r="851" spans="1:14" x14ac:dyDescent="0.2">
      <c r="A851" t="s">
        <v>706</v>
      </c>
      <c r="B851">
        <v>2005</v>
      </c>
      <c r="C851">
        <v>64</v>
      </c>
      <c r="D851">
        <v>1</v>
      </c>
      <c r="E851" s="3">
        <v>-2.5427</v>
      </c>
      <c r="F851" s="3"/>
      <c r="G851" s="3"/>
      <c r="H851" s="3"/>
      <c r="I851" s="3">
        <v>4.5199999999999996</v>
      </c>
      <c r="J851">
        <v>-23</v>
      </c>
      <c r="K851">
        <v>0</v>
      </c>
      <c r="L851">
        <v>0</v>
      </c>
      <c r="M851">
        <v>0</v>
      </c>
      <c r="N851" s="3"/>
    </row>
    <row r="852" spans="1:14" x14ac:dyDescent="0.2">
      <c r="A852" t="s">
        <v>715</v>
      </c>
      <c r="B852">
        <v>2005</v>
      </c>
      <c r="C852">
        <v>64</v>
      </c>
      <c r="D852">
        <v>1</v>
      </c>
      <c r="E852" s="3">
        <v>-4.6737000000000002</v>
      </c>
      <c r="F852" s="3"/>
      <c r="G852" s="3"/>
      <c r="H852" s="3"/>
      <c r="I852" s="3">
        <v>7.17</v>
      </c>
      <c r="J852">
        <v>8</v>
      </c>
      <c r="K852">
        <v>1</v>
      </c>
      <c r="L852">
        <v>0</v>
      </c>
      <c r="M852">
        <v>0</v>
      </c>
      <c r="N852" s="3"/>
    </row>
    <row r="853" spans="1:14" x14ac:dyDescent="0.2">
      <c r="A853" t="s">
        <v>723</v>
      </c>
      <c r="B853">
        <v>2005</v>
      </c>
      <c r="C853">
        <v>32</v>
      </c>
      <c r="D853">
        <v>8</v>
      </c>
      <c r="E853" s="3">
        <v>20.21</v>
      </c>
      <c r="F853" s="3"/>
      <c r="G853" s="3"/>
      <c r="H853" s="3"/>
      <c r="I853" s="3">
        <v>0.86</v>
      </c>
      <c r="J853">
        <v>12</v>
      </c>
      <c r="K853">
        <v>1</v>
      </c>
      <c r="L853">
        <v>0</v>
      </c>
      <c r="M853">
        <v>0</v>
      </c>
      <c r="N853" s="3"/>
    </row>
    <row r="854" spans="1:14" x14ac:dyDescent="0.2">
      <c r="A854" t="s">
        <v>731</v>
      </c>
      <c r="B854">
        <v>2005</v>
      </c>
      <c r="C854">
        <v>32</v>
      </c>
      <c r="D854">
        <v>8</v>
      </c>
      <c r="E854" s="3">
        <v>18.63</v>
      </c>
      <c r="F854" s="3"/>
      <c r="G854" s="3"/>
      <c r="H854" s="3"/>
      <c r="I854" s="3">
        <v>5.76</v>
      </c>
      <c r="J854">
        <v>27</v>
      </c>
      <c r="K854">
        <v>1</v>
      </c>
      <c r="L854">
        <v>0</v>
      </c>
      <c r="M854">
        <v>0</v>
      </c>
      <c r="N854" s="3"/>
    </row>
    <row r="855" spans="1:14" x14ac:dyDescent="0.2">
      <c r="A855" t="s">
        <v>735</v>
      </c>
      <c r="B855">
        <v>2005</v>
      </c>
      <c r="C855">
        <v>32</v>
      </c>
      <c r="D855">
        <v>8</v>
      </c>
      <c r="E855" s="3">
        <v>13.3</v>
      </c>
      <c r="F855" s="3"/>
      <c r="G855" s="3"/>
      <c r="H855" s="3"/>
      <c r="I855" s="3">
        <v>2.2799999999999998</v>
      </c>
      <c r="J855">
        <v>9</v>
      </c>
      <c r="K855">
        <v>1</v>
      </c>
      <c r="L855">
        <v>0</v>
      </c>
      <c r="M855">
        <v>0</v>
      </c>
      <c r="N855" s="3"/>
    </row>
    <row r="856" spans="1:14" x14ac:dyDescent="0.2">
      <c r="A856" t="s">
        <v>736</v>
      </c>
      <c r="B856">
        <v>2005</v>
      </c>
      <c r="C856">
        <v>32</v>
      </c>
      <c r="D856">
        <v>8</v>
      </c>
      <c r="E856" s="3">
        <v>13.25</v>
      </c>
      <c r="F856" s="3"/>
      <c r="G856" s="3"/>
      <c r="H856" s="3"/>
      <c r="I856" s="3">
        <v>4.67</v>
      </c>
      <c r="J856">
        <v>8</v>
      </c>
      <c r="K856">
        <v>1</v>
      </c>
      <c r="L856">
        <v>0</v>
      </c>
      <c r="M856">
        <v>0</v>
      </c>
      <c r="N856" s="3"/>
    </row>
    <row r="857" spans="1:14" x14ac:dyDescent="0.2">
      <c r="A857" t="s">
        <v>734</v>
      </c>
      <c r="B857">
        <v>2005</v>
      </c>
      <c r="C857">
        <v>32</v>
      </c>
      <c r="D857">
        <v>8</v>
      </c>
      <c r="E857" s="3">
        <v>11.18</v>
      </c>
      <c r="F857" s="3"/>
      <c r="G857" s="3"/>
      <c r="H857" s="3"/>
      <c r="I857" s="3">
        <v>-2.82</v>
      </c>
      <c r="J857">
        <v>11</v>
      </c>
      <c r="K857">
        <v>1</v>
      </c>
      <c r="L857">
        <v>0</v>
      </c>
      <c r="M857">
        <v>0</v>
      </c>
      <c r="N857" s="3"/>
    </row>
    <row r="858" spans="1:14" x14ac:dyDescent="0.2">
      <c r="A858" t="s">
        <v>725</v>
      </c>
      <c r="B858">
        <v>2005</v>
      </c>
      <c r="C858">
        <v>32</v>
      </c>
      <c r="D858">
        <v>8</v>
      </c>
      <c r="E858" s="3">
        <v>7.86</v>
      </c>
      <c r="F858" s="3"/>
      <c r="G858" s="3"/>
      <c r="H858" s="3"/>
      <c r="I858" s="3">
        <v>3.17</v>
      </c>
      <c r="J858">
        <v>22</v>
      </c>
      <c r="K858">
        <v>1</v>
      </c>
      <c r="L858">
        <v>0</v>
      </c>
      <c r="M858">
        <v>0</v>
      </c>
      <c r="N858" s="3"/>
    </row>
    <row r="859" spans="1:14" x14ac:dyDescent="0.2">
      <c r="A859" t="s">
        <v>726</v>
      </c>
      <c r="B859">
        <v>2005</v>
      </c>
      <c r="C859">
        <v>32</v>
      </c>
      <c r="D859">
        <v>8</v>
      </c>
      <c r="E859" s="3">
        <v>4.41</v>
      </c>
      <c r="F859" s="3"/>
      <c r="G859" s="3"/>
      <c r="H859" s="3"/>
      <c r="I859" s="3">
        <v>-4</v>
      </c>
      <c r="J859">
        <v>-8</v>
      </c>
      <c r="K859">
        <v>0</v>
      </c>
      <c r="L859">
        <v>0</v>
      </c>
      <c r="M859">
        <v>0</v>
      </c>
      <c r="N859" s="3"/>
    </row>
    <row r="860" spans="1:14" x14ac:dyDescent="0.2">
      <c r="A860" t="s">
        <v>732</v>
      </c>
      <c r="B860">
        <v>2005</v>
      </c>
      <c r="C860">
        <v>32</v>
      </c>
      <c r="D860">
        <v>8</v>
      </c>
      <c r="E860" s="3">
        <v>2.5099999999999998</v>
      </c>
      <c r="F860" s="3"/>
      <c r="G860" s="3"/>
      <c r="H860" s="3"/>
      <c r="I860" s="3">
        <v>3.37</v>
      </c>
      <c r="J860">
        <v>-3</v>
      </c>
      <c r="K860">
        <v>0</v>
      </c>
      <c r="L860">
        <v>0</v>
      </c>
      <c r="M860">
        <v>0</v>
      </c>
      <c r="N860" s="3"/>
    </row>
    <row r="861" spans="1:14" x14ac:dyDescent="0.2">
      <c r="A861" t="s">
        <v>727</v>
      </c>
      <c r="B861">
        <v>2005</v>
      </c>
      <c r="C861">
        <v>32</v>
      </c>
      <c r="D861">
        <v>7</v>
      </c>
      <c r="E861" s="3">
        <v>6.78</v>
      </c>
      <c r="F861" s="3"/>
      <c r="G861" s="3"/>
      <c r="H861" s="3"/>
      <c r="I861" s="3">
        <v>6.3</v>
      </c>
      <c r="J861">
        <v>18</v>
      </c>
      <c r="K861">
        <v>1</v>
      </c>
      <c r="L861">
        <v>0</v>
      </c>
      <c r="M861">
        <v>0</v>
      </c>
      <c r="N861" s="3"/>
    </row>
    <row r="862" spans="1:14" x14ac:dyDescent="0.2">
      <c r="A862" t="s">
        <v>728</v>
      </c>
      <c r="B862">
        <v>2005</v>
      </c>
      <c r="C862">
        <v>32</v>
      </c>
      <c r="D862">
        <v>5</v>
      </c>
      <c r="E862" s="3">
        <v>11.99</v>
      </c>
      <c r="F862" s="3"/>
      <c r="G862" s="3"/>
      <c r="H862" s="3"/>
      <c r="I862" s="3">
        <v>11.21</v>
      </c>
      <c r="J862">
        <v>-6</v>
      </c>
      <c r="K862">
        <v>0</v>
      </c>
      <c r="L862">
        <v>0</v>
      </c>
      <c r="M862">
        <v>0</v>
      </c>
      <c r="N862" s="3"/>
    </row>
    <row r="863" spans="1:14" x14ac:dyDescent="0.2">
      <c r="A863" t="s">
        <v>724</v>
      </c>
      <c r="B863">
        <v>2005</v>
      </c>
      <c r="C863">
        <v>32</v>
      </c>
      <c r="D863">
        <v>5</v>
      </c>
      <c r="E863" s="3">
        <v>8.4</v>
      </c>
      <c r="F863" s="3"/>
      <c r="G863" s="3"/>
      <c r="H863" s="3"/>
      <c r="I863" s="3">
        <v>2.2200000000000002</v>
      </c>
      <c r="J863">
        <v>8</v>
      </c>
      <c r="K863">
        <v>1</v>
      </c>
      <c r="L863">
        <v>0</v>
      </c>
      <c r="M863">
        <v>0</v>
      </c>
      <c r="N863" s="3"/>
    </row>
    <row r="864" spans="1:14" x14ac:dyDescent="0.2">
      <c r="A864" t="s">
        <v>737</v>
      </c>
      <c r="B864">
        <v>2005</v>
      </c>
      <c r="C864">
        <v>32</v>
      </c>
      <c r="D864">
        <v>5</v>
      </c>
      <c r="E864" s="3">
        <v>2.5299999999999998</v>
      </c>
      <c r="F864" s="3"/>
      <c r="G864" s="3"/>
      <c r="H864" s="3"/>
      <c r="I864" s="3">
        <v>-3.01</v>
      </c>
      <c r="J864">
        <v>9</v>
      </c>
      <c r="K864">
        <v>1</v>
      </c>
      <c r="L864">
        <v>0</v>
      </c>
      <c r="M864">
        <v>0</v>
      </c>
      <c r="N864" s="3"/>
    </row>
    <row r="865" spans="1:14" x14ac:dyDescent="0.2">
      <c r="A865" t="s">
        <v>738</v>
      </c>
      <c r="B865">
        <v>2005</v>
      </c>
      <c r="C865">
        <v>32</v>
      </c>
      <c r="D865">
        <v>3</v>
      </c>
      <c r="E865" s="3">
        <v>3.36</v>
      </c>
      <c r="F865" s="3"/>
      <c r="G865" s="3"/>
      <c r="H865" s="3"/>
      <c r="I865" s="3">
        <v>3.9</v>
      </c>
      <c r="J865">
        <v>-9</v>
      </c>
      <c r="K865">
        <v>0</v>
      </c>
      <c r="L865">
        <v>0</v>
      </c>
      <c r="M865">
        <v>0</v>
      </c>
      <c r="N865" s="3"/>
    </row>
    <row r="866" spans="1:14" x14ac:dyDescent="0.2">
      <c r="A866" t="s">
        <v>729</v>
      </c>
      <c r="B866">
        <v>2005</v>
      </c>
      <c r="C866">
        <v>32</v>
      </c>
      <c r="D866">
        <v>3</v>
      </c>
      <c r="E866" s="3">
        <v>2.2999999999999998</v>
      </c>
      <c r="F866" s="3"/>
      <c r="G866" s="3"/>
      <c r="H866" s="3"/>
      <c r="I866" s="3">
        <v>4.8600000000000003</v>
      </c>
      <c r="J866">
        <v>2</v>
      </c>
      <c r="K866">
        <v>1</v>
      </c>
      <c r="L866">
        <v>0</v>
      </c>
      <c r="M866">
        <v>0</v>
      </c>
      <c r="N866" s="3"/>
    </row>
    <row r="867" spans="1:14" x14ac:dyDescent="0.2">
      <c r="A867" t="s">
        <v>730</v>
      </c>
      <c r="B867">
        <v>2005</v>
      </c>
      <c r="C867">
        <v>32</v>
      </c>
      <c r="D867">
        <v>1</v>
      </c>
      <c r="E867" s="3">
        <v>3.68</v>
      </c>
      <c r="F867" s="3"/>
      <c r="G867" s="3"/>
      <c r="H867" s="3"/>
      <c r="I867" s="3">
        <v>3.56</v>
      </c>
      <c r="J867">
        <v>22</v>
      </c>
      <c r="K867">
        <v>1</v>
      </c>
      <c r="L867">
        <v>0</v>
      </c>
      <c r="M867">
        <v>0</v>
      </c>
      <c r="N867" s="3"/>
    </row>
    <row r="868" spans="1:14" x14ac:dyDescent="0.2">
      <c r="A868" t="s">
        <v>733</v>
      </c>
      <c r="B868">
        <v>2005</v>
      </c>
      <c r="C868">
        <v>32</v>
      </c>
      <c r="D868">
        <v>1</v>
      </c>
      <c r="E868" s="3">
        <v>0.53</v>
      </c>
      <c r="F868" s="3"/>
      <c r="G868" s="3"/>
      <c r="H868" s="3"/>
      <c r="I868" s="3">
        <v>-3.48</v>
      </c>
      <c r="J868">
        <v>-11</v>
      </c>
      <c r="K868">
        <v>0</v>
      </c>
      <c r="L868">
        <v>0</v>
      </c>
      <c r="M868">
        <v>0</v>
      </c>
      <c r="N868" s="3"/>
    </row>
    <row r="869" spans="1:14" x14ac:dyDescent="0.2">
      <c r="A869" t="s">
        <v>739</v>
      </c>
      <c r="B869">
        <v>2005</v>
      </c>
      <c r="C869">
        <v>16</v>
      </c>
      <c r="D869">
        <v>11</v>
      </c>
      <c r="E869" s="3">
        <v>17.45</v>
      </c>
      <c r="F869" s="3"/>
      <c r="G869" s="3"/>
      <c r="H869" s="3"/>
      <c r="I869" s="3">
        <v>-1.25</v>
      </c>
      <c r="J869">
        <v>14</v>
      </c>
      <c r="K869">
        <v>1</v>
      </c>
      <c r="L869">
        <v>0</v>
      </c>
      <c r="M869">
        <v>0</v>
      </c>
      <c r="N869" s="3"/>
    </row>
    <row r="870" spans="1:14" x14ac:dyDescent="0.2">
      <c r="A870" t="s">
        <v>741</v>
      </c>
      <c r="B870">
        <v>2005</v>
      </c>
      <c r="C870">
        <v>16</v>
      </c>
      <c r="D870">
        <v>4</v>
      </c>
      <c r="E870" s="3">
        <v>7.77</v>
      </c>
      <c r="F870" s="3"/>
      <c r="G870" s="3"/>
      <c r="H870" s="3"/>
      <c r="I870" s="3">
        <v>3.21</v>
      </c>
      <c r="J870">
        <v>1</v>
      </c>
      <c r="K870">
        <v>1</v>
      </c>
      <c r="L870">
        <v>0</v>
      </c>
      <c r="M870">
        <v>0</v>
      </c>
      <c r="N870" s="3"/>
    </row>
    <row r="871" spans="1:14" x14ac:dyDescent="0.2">
      <c r="A871" t="s">
        <v>744</v>
      </c>
      <c r="B871">
        <v>2005</v>
      </c>
      <c r="C871">
        <v>16</v>
      </c>
      <c r="D871">
        <v>4</v>
      </c>
      <c r="E871" s="3">
        <v>2.73</v>
      </c>
      <c r="F871" s="3"/>
      <c r="G871" s="3"/>
      <c r="H871" s="3"/>
      <c r="I871" s="3">
        <v>2.52</v>
      </c>
      <c r="J871">
        <v>10</v>
      </c>
      <c r="K871">
        <v>1</v>
      </c>
      <c r="L871">
        <v>0</v>
      </c>
      <c r="M871">
        <v>0</v>
      </c>
      <c r="N871" s="3"/>
    </row>
    <row r="872" spans="1:14" x14ac:dyDescent="0.2">
      <c r="A872" t="s">
        <v>742</v>
      </c>
      <c r="B872">
        <v>2005</v>
      </c>
      <c r="C872">
        <v>16</v>
      </c>
      <c r="D872">
        <v>4</v>
      </c>
      <c r="E872" s="3">
        <v>3.01</v>
      </c>
      <c r="F872" s="3"/>
      <c r="G872" s="3"/>
      <c r="H872" s="3"/>
      <c r="I872" s="3">
        <v>3.73</v>
      </c>
      <c r="J872">
        <v>-10</v>
      </c>
      <c r="K872">
        <v>0</v>
      </c>
      <c r="L872">
        <v>0</v>
      </c>
      <c r="M872">
        <v>0</v>
      </c>
      <c r="N872" s="3"/>
    </row>
    <row r="873" spans="1:14" x14ac:dyDescent="0.2">
      <c r="A873" t="s">
        <v>746</v>
      </c>
      <c r="B873">
        <v>2005</v>
      </c>
      <c r="C873">
        <v>16</v>
      </c>
      <c r="D873">
        <v>4</v>
      </c>
      <c r="E873" s="3">
        <v>0.59</v>
      </c>
      <c r="F873" s="3"/>
      <c r="G873" s="3"/>
      <c r="H873" s="3"/>
      <c r="I873" s="3">
        <v>4.46</v>
      </c>
      <c r="J873">
        <v>9</v>
      </c>
      <c r="K873">
        <v>1</v>
      </c>
      <c r="L873">
        <v>0</v>
      </c>
      <c r="M873">
        <v>0</v>
      </c>
      <c r="N873" s="3"/>
    </row>
    <row r="874" spans="1:14" x14ac:dyDescent="0.2">
      <c r="A874" t="s">
        <v>740</v>
      </c>
      <c r="B874">
        <v>2005</v>
      </c>
      <c r="C874">
        <v>16</v>
      </c>
      <c r="D874">
        <v>3</v>
      </c>
      <c r="E874" s="3">
        <v>-3.25</v>
      </c>
      <c r="F874" s="3"/>
      <c r="G874" s="3"/>
      <c r="H874" s="3"/>
      <c r="I874" s="3">
        <v>5.62</v>
      </c>
      <c r="J874">
        <v>-14</v>
      </c>
      <c r="K874">
        <v>0</v>
      </c>
      <c r="L874">
        <v>0</v>
      </c>
      <c r="M874">
        <v>0</v>
      </c>
      <c r="N874" s="3"/>
    </row>
    <row r="875" spans="1:14" x14ac:dyDescent="0.2">
      <c r="A875" t="s">
        <v>743</v>
      </c>
      <c r="B875">
        <v>2005</v>
      </c>
      <c r="C875">
        <v>16</v>
      </c>
      <c r="D875">
        <v>1</v>
      </c>
      <c r="E875" s="3">
        <v>3.47</v>
      </c>
      <c r="F875" s="3"/>
      <c r="G875" s="3"/>
      <c r="H875" s="3"/>
      <c r="I875" s="3">
        <v>0.77</v>
      </c>
      <c r="J875">
        <v>-1</v>
      </c>
      <c r="K875">
        <v>0</v>
      </c>
      <c r="L875">
        <v>0</v>
      </c>
      <c r="M875">
        <v>0</v>
      </c>
      <c r="N875" s="3"/>
    </row>
    <row r="876" spans="1:14" x14ac:dyDescent="0.2">
      <c r="A876" t="s">
        <v>745</v>
      </c>
      <c r="B876">
        <v>2005</v>
      </c>
      <c r="C876">
        <v>16</v>
      </c>
      <c r="D876">
        <v>1</v>
      </c>
      <c r="E876" s="3">
        <v>1.19</v>
      </c>
      <c r="F876" s="3"/>
      <c r="G876" s="3"/>
      <c r="H876" s="3"/>
      <c r="I876" s="3">
        <v>3.98</v>
      </c>
      <c r="J876">
        <v>-5</v>
      </c>
      <c r="K876">
        <v>0</v>
      </c>
      <c r="L876">
        <v>0</v>
      </c>
      <c r="M876">
        <v>0</v>
      </c>
      <c r="N876" s="3"/>
    </row>
    <row r="877" spans="1:14" x14ac:dyDescent="0.2">
      <c r="A877" t="s">
        <v>748</v>
      </c>
      <c r="B877">
        <v>2005</v>
      </c>
      <c r="C877">
        <v>8</v>
      </c>
      <c r="D877">
        <v>5</v>
      </c>
      <c r="E877" s="3">
        <v>11.29</v>
      </c>
      <c r="F877" s="3"/>
      <c r="G877" s="3"/>
      <c r="H877" s="3"/>
      <c r="I877" s="3">
        <v>2.42</v>
      </c>
      <c r="J877">
        <v>6</v>
      </c>
      <c r="K877">
        <v>1</v>
      </c>
      <c r="L877">
        <v>0</v>
      </c>
      <c r="M877">
        <v>0</v>
      </c>
      <c r="N877" s="3"/>
    </row>
    <row r="878" spans="1:14" x14ac:dyDescent="0.2">
      <c r="A878" t="s">
        <v>750</v>
      </c>
      <c r="B878">
        <v>2005</v>
      </c>
      <c r="C878">
        <v>8</v>
      </c>
      <c r="D878">
        <v>3</v>
      </c>
      <c r="E878" s="3">
        <v>11.63</v>
      </c>
      <c r="F878" s="3"/>
      <c r="G878" s="3"/>
      <c r="H878" s="3"/>
      <c r="I878" s="3">
        <v>7.07</v>
      </c>
      <c r="J878">
        <v>8</v>
      </c>
      <c r="K878">
        <v>1</v>
      </c>
      <c r="L878">
        <v>0</v>
      </c>
      <c r="M878">
        <v>0</v>
      </c>
      <c r="N878" s="3"/>
    </row>
    <row r="879" spans="1:14" x14ac:dyDescent="0.2">
      <c r="A879" t="s">
        <v>749</v>
      </c>
      <c r="B879">
        <v>2005</v>
      </c>
      <c r="C879">
        <v>8</v>
      </c>
      <c r="D879">
        <v>3</v>
      </c>
      <c r="E879" s="3">
        <v>-1.62</v>
      </c>
      <c r="F879" s="3"/>
      <c r="G879" s="3"/>
      <c r="H879" s="3"/>
      <c r="I879" s="3">
        <v>0.94</v>
      </c>
      <c r="J879">
        <v>-6</v>
      </c>
      <c r="K879">
        <v>0</v>
      </c>
      <c r="L879">
        <v>0</v>
      </c>
      <c r="M879">
        <v>0</v>
      </c>
      <c r="N879" s="3"/>
    </row>
    <row r="880" spans="1:14" x14ac:dyDescent="0.2">
      <c r="A880" t="s">
        <v>747</v>
      </c>
      <c r="B880">
        <v>2005</v>
      </c>
      <c r="C880">
        <v>8</v>
      </c>
      <c r="D880">
        <v>2</v>
      </c>
      <c r="E880" s="3">
        <v>10.77</v>
      </c>
      <c r="F880" s="3"/>
      <c r="G880" s="3"/>
      <c r="H880" s="3"/>
      <c r="I880" s="3">
        <v>-2.9</v>
      </c>
      <c r="J880">
        <v>1</v>
      </c>
      <c r="K880">
        <v>1</v>
      </c>
      <c r="L880">
        <v>0</v>
      </c>
      <c r="M880">
        <v>0</v>
      </c>
      <c r="N880" s="3"/>
    </row>
    <row r="881" spans="1:14" x14ac:dyDescent="0.2">
      <c r="A881" t="s">
        <v>752</v>
      </c>
      <c r="B881">
        <v>2005</v>
      </c>
      <c r="C881">
        <v>4</v>
      </c>
      <c r="D881">
        <v>4</v>
      </c>
      <c r="E881" s="3">
        <v>5.66</v>
      </c>
      <c r="F881" s="3"/>
      <c r="G881" s="3"/>
      <c r="H881" s="3"/>
      <c r="I881" s="3">
        <v>5.6</v>
      </c>
      <c r="J881">
        <v>16</v>
      </c>
      <c r="K881">
        <v>1</v>
      </c>
      <c r="L881">
        <v>0</v>
      </c>
      <c r="M881">
        <v>0</v>
      </c>
      <c r="N881" s="3"/>
    </row>
    <row r="882" spans="1:14" x14ac:dyDescent="0.2">
      <c r="A882" t="s">
        <v>751</v>
      </c>
      <c r="B882">
        <v>2005</v>
      </c>
      <c r="C882">
        <v>4</v>
      </c>
      <c r="D882">
        <v>3</v>
      </c>
      <c r="E882" s="3">
        <v>5.7</v>
      </c>
      <c r="F882" s="3"/>
      <c r="G882" s="3"/>
      <c r="H882" s="3"/>
      <c r="I882" s="3">
        <v>0.32</v>
      </c>
      <c r="J882">
        <v>15</v>
      </c>
      <c r="K882">
        <v>1</v>
      </c>
      <c r="L882">
        <v>0</v>
      </c>
      <c r="M882">
        <v>0</v>
      </c>
      <c r="N882" s="3"/>
    </row>
    <row r="883" spans="1:14" x14ac:dyDescent="0.2">
      <c r="A883" t="s">
        <v>753</v>
      </c>
      <c r="B883">
        <v>2005</v>
      </c>
      <c r="C883">
        <v>2</v>
      </c>
      <c r="D883">
        <v>0</v>
      </c>
      <c r="E883" s="3">
        <v>0.6</v>
      </c>
      <c r="F883" s="3"/>
      <c r="G883" s="3"/>
      <c r="H883" s="3"/>
      <c r="I883" s="3">
        <v>-3.38</v>
      </c>
      <c r="J883">
        <v>-5</v>
      </c>
      <c r="K883">
        <v>0</v>
      </c>
      <c r="L883">
        <v>0</v>
      </c>
      <c r="M883">
        <v>0</v>
      </c>
      <c r="N883" s="3"/>
    </row>
    <row r="884" spans="1:14" x14ac:dyDescent="0.2">
      <c r="A884" t="s">
        <v>779</v>
      </c>
      <c r="B884">
        <v>2004</v>
      </c>
      <c r="C884">
        <v>64</v>
      </c>
      <c r="D884">
        <v>15</v>
      </c>
      <c r="E884" s="3">
        <v>42.418100000000003</v>
      </c>
      <c r="F884" s="3"/>
      <c r="G884" s="3"/>
      <c r="H884" s="3"/>
      <c r="I884" s="3">
        <v>6.26</v>
      </c>
      <c r="J884">
        <v>35</v>
      </c>
      <c r="K884">
        <v>1</v>
      </c>
      <c r="L884">
        <v>0</v>
      </c>
      <c r="M884">
        <v>0</v>
      </c>
      <c r="N884" s="3"/>
    </row>
    <row r="885" spans="1:14" x14ac:dyDescent="0.2">
      <c r="A885" t="s">
        <v>771</v>
      </c>
      <c r="B885">
        <v>2004</v>
      </c>
      <c r="C885">
        <v>64</v>
      </c>
      <c r="D885">
        <v>15</v>
      </c>
      <c r="E885" s="3">
        <v>35.364600000000003</v>
      </c>
      <c r="F885" s="3"/>
      <c r="G885" s="3"/>
      <c r="H885" s="3"/>
      <c r="I885" s="3">
        <v>5.86</v>
      </c>
      <c r="J885">
        <v>20</v>
      </c>
      <c r="K885">
        <v>1</v>
      </c>
      <c r="L885">
        <v>0</v>
      </c>
      <c r="M885">
        <v>0</v>
      </c>
      <c r="N885" s="3"/>
    </row>
    <row r="886" spans="1:14" x14ac:dyDescent="0.2">
      <c r="A886" t="s">
        <v>787</v>
      </c>
      <c r="B886">
        <v>2004</v>
      </c>
      <c r="C886">
        <v>64</v>
      </c>
      <c r="D886">
        <v>15</v>
      </c>
      <c r="E886" s="3">
        <v>30.596360000000001</v>
      </c>
      <c r="F886" s="3"/>
      <c r="G886" s="3"/>
      <c r="H886" s="3"/>
      <c r="I886" s="3">
        <v>3.9</v>
      </c>
      <c r="J886">
        <v>26</v>
      </c>
      <c r="K886">
        <v>1</v>
      </c>
      <c r="L886">
        <v>0</v>
      </c>
      <c r="M886">
        <v>0</v>
      </c>
      <c r="N886" s="3"/>
    </row>
    <row r="887" spans="1:14" x14ac:dyDescent="0.2">
      <c r="A887" t="s">
        <v>763</v>
      </c>
      <c r="B887">
        <v>2004</v>
      </c>
      <c r="C887">
        <v>64</v>
      </c>
      <c r="D887">
        <v>15</v>
      </c>
      <c r="E887" s="3">
        <v>30.51285</v>
      </c>
      <c r="F887" s="3"/>
      <c r="G887" s="3"/>
      <c r="H887" s="3"/>
      <c r="I887" s="3">
        <v>3.01</v>
      </c>
      <c r="J887">
        <v>19</v>
      </c>
      <c r="K887">
        <v>1</v>
      </c>
      <c r="L887">
        <v>0</v>
      </c>
      <c r="M887">
        <v>0</v>
      </c>
      <c r="N887" s="3"/>
    </row>
    <row r="888" spans="1:14" x14ac:dyDescent="0.2">
      <c r="A888" t="s">
        <v>788</v>
      </c>
      <c r="B888">
        <v>2004</v>
      </c>
      <c r="C888">
        <v>64</v>
      </c>
      <c r="D888">
        <v>13</v>
      </c>
      <c r="E888" s="3">
        <v>27.148209999999999</v>
      </c>
      <c r="F888" s="3"/>
      <c r="G888" s="3"/>
      <c r="H888" s="3"/>
      <c r="I888" s="3">
        <v>6.93</v>
      </c>
      <c r="J888">
        <v>17</v>
      </c>
      <c r="K888">
        <v>1</v>
      </c>
      <c r="L888">
        <v>0</v>
      </c>
      <c r="M888">
        <v>0</v>
      </c>
      <c r="N888" s="3"/>
    </row>
    <row r="889" spans="1:14" x14ac:dyDescent="0.2">
      <c r="A889" t="s">
        <v>772</v>
      </c>
      <c r="B889">
        <v>2004</v>
      </c>
      <c r="C889">
        <v>64</v>
      </c>
      <c r="D889">
        <v>13</v>
      </c>
      <c r="E889" s="3">
        <v>25.848675</v>
      </c>
      <c r="F889" s="3"/>
      <c r="G889" s="3"/>
      <c r="H889" s="3"/>
      <c r="I889" s="3">
        <v>3.96</v>
      </c>
      <c r="J889">
        <v>27</v>
      </c>
      <c r="K889">
        <v>1</v>
      </c>
      <c r="L889">
        <v>0</v>
      </c>
      <c r="M889">
        <v>0</v>
      </c>
      <c r="N889" s="3"/>
    </row>
    <row r="890" spans="1:14" x14ac:dyDescent="0.2">
      <c r="A890" t="s">
        <v>780</v>
      </c>
      <c r="B890">
        <v>2004</v>
      </c>
      <c r="C890">
        <v>64</v>
      </c>
      <c r="D890">
        <v>13</v>
      </c>
      <c r="E890" s="3">
        <v>26.234030000000001</v>
      </c>
      <c r="F890" s="3"/>
      <c r="G890" s="3"/>
      <c r="H890" s="3"/>
      <c r="I890" s="3">
        <v>-2.15</v>
      </c>
      <c r="J890">
        <v>33</v>
      </c>
      <c r="K890">
        <v>1</v>
      </c>
      <c r="L890">
        <v>0</v>
      </c>
      <c r="M890">
        <v>0</v>
      </c>
      <c r="N890" s="3"/>
    </row>
    <row r="891" spans="1:14" x14ac:dyDescent="0.2">
      <c r="A891" t="s">
        <v>764</v>
      </c>
      <c r="B891">
        <v>2004</v>
      </c>
      <c r="C891">
        <v>64</v>
      </c>
      <c r="D891">
        <v>13</v>
      </c>
      <c r="E891" s="3">
        <v>21.361719999999998</v>
      </c>
      <c r="F891" s="3"/>
      <c r="G891" s="3"/>
      <c r="H891" s="3"/>
      <c r="I891" s="3">
        <v>-6.07</v>
      </c>
      <c r="J891">
        <v>19</v>
      </c>
      <c r="K891">
        <v>1</v>
      </c>
      <c r="L891">
        <v>0</v>
      </c>
      <c r="M891">
        <v>0</v>
      </c>
      <c r="N891" s="3"/>
    </row>
    <row r="892" spans="1:14" x14ac:dyDescent="0.2">
      <c r="A892" t="s">
        <v>765</v>
      </c>
      <c r="B892">
        <v>2004</v>
      </c>
      <c r="C892">
        <v>64</v>
      </c>
      <c r="D892">
        <v>11</v>
      </c>
      <c r="E892" s="3">
        <v>20.301120000000001</v>
      </c>
      <c r="F892" s="3"/>
      <c r="G892" s="3"/>
      <c r="H892" s="3"/>
      <c r="I892" s="3">
        <v>2.36</v>
      </c>
      <c r="J892">
        <v>9</v>
      </c>
      <c r="K892">
        <v>1</v>
      </c>
      <c r="L892">
        <v>0</v>
      </c>
      <c r="M892">
        <v>0</v>
      </c>
      <c r="N892" s="3"/>
    </row>
    <row r="893" spans="1:14" x14ac:dyDescent="0.2">
      <c r="A893" t="s">
        <v>781</v>
      </c>
      <c r="B893">
        <v>2004</v>
      </c>
      <c r="C893">
        <v>64</v>
      </c>
      <c r="D893">
        <v>11</v>
      </c>
      <c r="E893" s="3">
        <v>14.839549999999999</v>
      </c>
      <c r="F893" s="3"/>
      <c r="G893" s="3"/>
      <c r="H893" s="3"/>
      <c r="I893" s="3">
        <v>6</v>
      </c>
      <c r="J893">
        <v>17</v>
      </c>
      <c r="K893">
        <v>1</v>
      </c>
      <c r="L893">
        <v>0</v>
      </c>
      <c r="M893">
        <v>0</v>
      </c>
      <c r="N893" s="3"/>
    </row>
    <row r="894" spans="1:14" x14ac:dyDescent="0.2">
      <c r="A894" t="s">
        <v>773</v>
      </c>
      <c r="B894">
        <v>2004</v>
      </c>
      <c r="C894">
        <v>64</v>
      </c>
      <c r="D894">
        <v>11</v>
      </c>
      <c r="E894" s="3">
        <v>16.4221</v>
      </c>
      <c r="F894" s="3"/>
      <c r="G894" s="3"/>
      <c r="H894" s="3"/>
      <c r="I894" s="3">
        <v>0.81</v>
      </c>
      <c r="J894">
        <v>5</v>
      </c>
      <c r="K894">
        <v>1</v>
      </c>
      <c r="L894">
        <v>0</v>
      </c>
      <c r="M894">
        <v>0</v>
      </c>
      <c r="N894" s="3"/>
    </row>
    <row r="895" spans="1:14" x14ac:dyDescent="0.2">
      <c r="A895" t="s">
        <v>789</v>
      </c>
      <c r="B895">
        <v>2004</v>
      </c>
      <c r="C895">
        <v>64</v>
      </c>
      <c r="D895">
        <v>11</v>
      </c>
      <c r="E895" s="3">
        <v>13.898199999999999</v>
      </c>
      <c r="F895" s="3"/>
      <c r="G895" s="3"/>
      <c r="H895" s="3"/>
      <c r="I895" s="3">
        <v>-5.57</v>
      </c>
      <c r="J895">
        <v>9</v>
      </c>
      <c r="K895">
        <v>1</v>
      </c>
      <c r="L895">
        <v>0</v>
      </c>
      <c r="M895">
        <v>0</v>
      </c>
      <c r="N895" s="3"/>
    </row>
    <row r="896" spans="1:14" x14ac:dyDescent="0.2">
      <c r="A896" t="s">
        <v>782</v>
      </c>
      <c r="B896">
        <v>2004</v>
      </c>
      <c r="C896">
        <v>64</v>
      </c>
      <c r="D896">
        <v>9</v>
      </c>
      <c r="E896" s="3">
        <v>15.729760000000001</v>
      </c>
      <c r="F896" s="3"/>
      <c r="G896" s="3"/>
      <c r="H896" s="3"/>
      <c r="I896" s="3">
        <v>4.7699999999999996</v>
      </c>
      <c r="J896">
        <v>3</v>
      </c>
      <c r="K896">
        <v>1</v>
      </c>
      <c r="L896">
        <v>0</v>
      </c>
      <c r="M896">
        <v>0</v>
      </c>
      <c r="N896" s="3"/>
    </row>
    <row r="897" spans="1:14" x14ac:dyDescent="0.2">
      <c r="A897" t="s">
        <v>766</v>
      </c>
      <c r="B897">
        <v>2004</v>
      </c>
      <c r="C897">
        <v>64</v>
      </c>
      <c r="D897">
        <v>9</v>
      </c>
      <c r="E897" s="3">
        <v>13.63448</v>
      </c>
      <c r="F897" s="3"/>
      <c r="G897" s="3"/>
      <c r="H897" s="3"/>
      <c r="I897" s="3">
        <v>2.56</v>
      </c>
      <c r="J897">
        <v>1</v>
      </c>
      <c r="K897">
        <v>1</v>
      </c>
      <c r="L897">
        <v>0</v>
      </c>
      <c r="M897">
        <v>0</v>
      </c>
      <c r="N897" s="3"/>
    </row>
    <row r="898" spans="1:14" x14ac:dyDescent="0.2">
      <c r="A898" t="s">
        <v>774</v>
      </c>
      <c r="B898">
        <v>2004</v>
      </c>
      <c r="C898">
        <v>64</v>
      </c>
      <c r="D898">
        <v>9</v>
      </c>
      <c r="E898" s="3">
        <v>7.3197999999999999</v>
      </c>
      <c r="F898" s="3"/>
      <c r="G898" s="3"/>
      <c r="H898" s="3"/>
      <c r="I898" s="3">
        <v>10.81</v>
      </c>
      <c r="J898">
        <v>34</v>
      </c>
      <c r="K898">
        <v>1</v>
      </c>
      <c r="L898">
        <v>0</v>
      </c>
      <c r="M898">
        <v>0</v>
      </c>
      <c r="N898" s="3"/>
    </row>
    <row r="899" spans="1:14" x14ac:dyDescent="0.2">
      <c r="A899" t="s">
        <v>790</v>
      </c>
      <c r="B899">
        <v>2004</v>
      </c>
      <c r="C899">
        <v>64</v>
      </c>
      <c r="D899">
        <v>9</v>
      </c>
      <c r="E899" s="3">
        <v>5.7050999999999998</v>
      </c>
      <c r="F899" s="3"/>
      <c r="G899" s="3"/>
      <c r="H899" s="3"/>
      <c r="I899" s="3">
        <v>6.05</v>
      </c>
      <c r="J899">
        <v>3</v>
      </c>
      <c r="K899">
        <v>1</v>
      </c>
      <c r="L899">
        <v>0</v>
      </c>
      <c r="M899">
        <v>0</v>
      </c>
      <c r="N899" s="3"/>
    </row>
    <row r="900" spans="1:14" x14ac:dyDescent="0.2">
      <c r="A900" t="s">
        <v>775</v>
      </c>
      <c r="B900">
        <v>2004</v>
      </c>
      <c r="C900">
        <v>64</v>
      </c>
      <c r="D900">
        <v>7</v>
      </c>
      <c r="E900" s="3">
        <v>9.9227799999999995</v>
      </c>
      <c r="F900" s="3"/>
      <c r="G900" s="3"/>
      <c r="H900" s="3"/>
      <c r="I900" s="3">
        <v>2.86</v>
      </c>
      <c r="J900">
        <v>-8</v>
      </c>
      <c r="K900">
        <v>0</v>
      </c>
      <c r="L900">
        <v>0</v>
      </c>
      <c r="M900">
        <v>0</v>
      </c>
      <c r="N900" s="3"/>
    </row>
    <row r="901" spans="1:14" x14ac:dyDescent="0.2">
      <c r="A901" t="s">
        <v>783</v>
      </c>
      <c r="B901">
        <v>2004</v>
      </c>
      <c r="C901">
        <v>64</v>
      </c>
      <c r="D901">
        <v>7</v>
      </c>
      <c r="E901" s="3">
        <v>7.5446999999999997</v>
      </c>
      <c r="F901" s="3"/>
      <c r="G901" s="3"/>
      <c r="H901" s="3"/>
      <c r="I901" s="3">
        <v>3.54</v>
      </c>
      <c r="J901">
        <v>19</v>
      </c>
      <c r="K901">
        <v>1</v>
      </c>
      <c r="L901">
        <v>0</v>
      </c>
      <c r="M901">
        <v>0</v>
      </c>
      <c r="N901" s="3"/>
    </row>
    <row r="902" spans="1:14" x14ac:dyDescent="0.2">
      <c r="A902" t="s">
        <v>767</v>
      </c>
      <c r="B902">
        <v>2004</v>
      </c>
      <c r="C902">
        <v>64</v>
      </c>
      <c r="D902">
        <v>7</v>
      </c>
      <c r="E902" s="3">
        <v>8.3076000000000008</v>
      </c>
      <c r="F902" s="3"/>
      <c r="G902" s="3"/>
      <c r="H902" s="3"/>
      <c r="I902" s="3">
        <v>-0.46</v>
      </c>
      <c r="J902">
        <v>-15</v>
      </c>
      <c r="K902">
        <v>0</v>
      </c>
      <c r="L902">
        <v>0</v>
      </c>
      <c r="M902">
        <v>0</v>
      </c>
      <c r="N902" s="3"/>
    </row>
    <row r="903" spans="1:14" x14ac:dyDescent="0.2">
      <c r="A903" t="s">
        <v>791</v>
      </c>
      <c r="B903">
        <v>2004</v>
      </c>
      <c r="C903">
        <v>64</v>
      </c>
      <c r="D903">
        <v>7</v>
      </c>
      <c r="E903" s="3">
        <v>-0.65649999999999997</v>
      </c>
      <c r="F903" s="3"/>
      <c r="G903" s="3"/>
      <c r="H903" s="3"/>
      <c r="I903" s="3">
        <v>-6.08</v>
      </c>
      <c r="J903">
        <v>5</v>
      </c>
      <c r="K903">
        <v>1</v>
      </c>
      <c r="L903">
        <v>0</v>
      </c>
      <c r="M903">
        <v>0</v>
      </c>
      <c r="N903" s="3"/>
    </row>
    <row r="904" spans="1:14" x14ac:dyDescent="0.2">
      <c r="A904" t="s">
        <v>784</v>
      </c>
      <c r="B904">
        <v>2004</v>
      </c>
      <c r="C904">
        <v>64</v>
      </c>
      <c r="D904">
        <v>5</v>
      </c>
      <c r="E904" s="3">
        <v>6.8856000000000002</v>
      </c>
      <c r="F904" s="3"/>
      <c r="G904" s="3"/>
      <c r="H904" s="3"/>
      <c r="I904" s="3">
        <v>15.83</v>
      </c>
      <c r="J904">
        <v>11</v>
      </c>
      <c r="K904">
        <v>1</v>
      </c>
      <c r="L904">
        <v>0</v>
      </c>
      <c r="M904">
        <v>0</v>
      </c>
      <c r="N904" s="3"/>
    </row>
    <row r="905" spans="1:14" x14ac:dyDescent="0.2">
      <c r="A905" t="s">
        <v>768</v>
      </c>
      <c r="B905">
        <v>2004</v>
      </c>
      <c r="C905">
        <v>64</v>
      </c>
      <c r="D905">
        <v>5</v>
      </c>
      <c r="E905" s="3">
        <v>9.5953999999999997</v>
      </c>
      <c r="F905" s="3"/>
      <c r="G905" s="3"/>
      <c r="H905" s="3"/>
      <c r="I905" s="3">
        <v>-0.87</v>
      </c>
      <c r="J905">
        <v>12</v>
      </c>
      <c r="K905">
        <v>1</v>
      </c>
      <c r="L905">
        <v>0</v>
      </c>
      <c r="M905">
        <v>0</v>
      </c>
      <c r="N905" s="3"/>
    </row>
    <row r="906" spans="1:14" x14ac:dyDescent="0.2">
      <c r="A906" t="s">
        <v>792</v>
      </c>
      <c r="B906">
        <v>2004</v>
      </c>
      <c r="C906">
        <v>64</v>
      </c>
      <c r="D906">
        <v>5</v>
      </c>
      <c r="E906" s="3">
        <v>1.5</v>
      </c>
      <c r="F906" s="3"/>
      <c r="G906" s="3"/>
      <c r="H906" s="3"/>
      <c r="I906" s="3">
        <v>-1.9</v>
      </c>
      <c r="J906">
        <v>13</v>
      </c>
      <c r="K906">
        <v>1</v>
      </c>
      <c r="L906">
        <v>0</v>
      </c>
      <c r="M906">
        <v>0</v>
      </c>
      <c r="N906" s="3"/>
    </row>
    <row r="907" spans="1:14" x14ac:dyDescent="0.2">
      <c r="A907" t="s">
        <v>776</v>
      </c>
      <c r="B907">
        <v>2004</v>
      </c>
      <c r="C907">
        <v>64</v>
      </c>
      <c r="D907">
        <v>5</v>
      </c>
      <c r="E907" s="3">
        <v>-0.23219999999999999</v>
      </c>
      <c r="F907" s="3"/>
      <c r="G907" s="3"/>
      <c r="H907" s="3"/>
      <c r="I907" s="3">
        <v>-0.01</v>
      </c>
      <c r="J907">
        <v>7</v>
      </c>
      <c r="K907">
        <v>1</v>
      </c>
      <c r="L907">
        <v>0</v>
      </c>
      <c r="M907">
        <v>0</v>
      </c>
      <c r="N907" s="3"/>
    </row>
    <row r="908" spans="1:14" x14ac:dyDescent="0.2">
      <c r="A908" t="s">
        <v>769</v>
      </c>
      <c r="B908">
        <v>2004</v>
      </c>
      <c r="C908">
        <v>64</v>
      </c>
      <c r="D908">
        <v>3</v>
      </c>
      <c r="E908" s="3">
        <v>-0.59630000000000005</v>
      </c>
      <c r="F908" s="3"/>
      <c r="G908" s="3"/>
      <c r="H908" s="3"/>
      <c r="I908" s="3">
        <v>9.3000000000000007</v>
      </c>
      <c r="J908">
        <v>16</v>
      </c>
      <c r="K908">
        <v>1</v>
      </c>
      <c r="L908">
        <v>0</v>
      </c>
      <c r="M908">
        <v>0</v>
      </c>
      <c r="N908" s="3"/>
    </row>
    <row r="909" spans="1:14" x14ac:dyDescent="0.2">
      <c r="A909" t="s">
        <v>793</v>
      </c>
      <c r="B909">
        <v>2004</v>
      </c>
      <c r="C909">
        <v>64</v>
      </c>
      <c r="D909">
        <v>3</v>
      </c>
      <c r="E909" s="3">
        <v>2.0358000000000001</v>
      </c>
      <c r="F909" s="3"/>
      <c r="G909" s="3"/>
      <c r="H909" s="3"/>
      <c r="I909" s="3">
        <v>1.83</v>
      </c>
      <c r="J909">
        <v>7</v>
      </c>
      <c r="K909">
        <v>1</v>
      </c>
      <c r="L909">
        <v>0</v>
      </c>
      <c r="M909">
        <v>0</v>
      </c>
      <c r="N909" s="3"/>
    </row>
    <row r="910" spans="1:14" x14ac:dyDescent="0.2">
      <c r="A910" t="s">
        <v>777</v>
      </c>
      <c r="B910">
        <v>2004</v>
      </c>
      <c r="C910">
        <v>64</v>
      </c>
      <c r="D910">
        <v>3</v>
      </c>
      <c r="E910" s="3">
        <v>-3.8942000000000001</v>
      </c>
      <c r="F910" s="3"/>
      <c r="G910" s="3"/>
      <c r="H910" s="3"/>
      <c r="I910" s="3">
        <v>3.88</v>
      </c>
      <c r="J910">
        <v>-6</v>
      </c>
      <c r="K910">
        <v>0</v>
      </c>
      <c r="L910">
        <v>0</v>
      </c>
      <c r="M910">
        <v>0</v>
      </c>
      <c r="N910" s="3"/>
    </row>
    <row r="911" spans="1:14" x14ac:dyDescent="0.2">
      <c r="A911" t="s">
        <v>785</v>
      </c>
      <c r="B911">
        <v>2004</v>
      </c>
      <c r="C911">
        <v>64</v>
      </c>
      <c r="D911">
        <v>3</v>
      </c>
      <c r="E911" s="3">
        <v>-3.8102999999999998</v>
      </c>
      <c r="F911" s="3"/>
      <c r="G911" s="3"/>
      <c r="H911" s="3"/>
      <c r="I911" s="3">
        <v>-3.01</v>
      </c>
      <c r="J911">
        <v>10</v>
      </c>
      <c r="K911">
        <v>1</v>
      </c>
      <c r="L911">
        <v>0</v>
      </c>
      <c r="M911">
        <v>0</v>
      </c>
      <c r="N911" s="3"/>
    </row>
    <row r="912" spans="1:14" x14ac:dyDescent="0.2">
      <c r="A912" t="s">
        <v>794</v>
      </c>
      <c r="B912">
        <v>2004</v>
      </c>
      <c r="C912">
        <v>64</v>
      </c>
      <c r="D912">
        <v>1</v>
      </c>
      <c r="E912" s="3">
        <v>2.1074000000000002</v>
      </c>
      <c r="F912" s="3"/>
      <c r="G912" s="3"/>
      <c r="H912" s="3"/>
      <c r="I912" s="3">
        <v>6.61</v>
      </c>
      <c r="J912">
        <v>1</v>
      </c>
      <c r="K912">
        <v>1</v>
      </c>
      <c r="L912">
        <v>0</v>
      </c>
      <c r="M912">
        <v>0</v>
      </c>
      <c r="N912" s="3"/>
    </row>
    <row r="913" spans="1:14" x14ac:dyDescent="0.2">
      <c r="A913" t="s">
        <v>770</v>
      </c>
      <c r="B913">
        <v>2004</v>
      </c>
      <c r="C913">
        <v>64</v>
      </c>
      <c r="D913">
        <v>1</v>
      </c>
      <c r="E913" s="3">
        <v>1.4368000000000001</v>
      </c>
      <c r="F913" s="3"/>
      <c r="G913" s="3"/>
      <c r="H913" s="3"/>
      <c r="I913" s="3">
        <v>2.15</v>
      </c>
      <c r="J913">
        <v>3</v>
      </c>
      <c r="K913">
        <v>1</v>
      </c>
      <c r="L913">
        <v>0</v>
      </c>
      <c r="M913">
        <v>0</v>
      </c>
      <c r="N913" s="3"/>
    </row>
    <row r="914" spans="1:14" x14ac:dyDescent="0.2">
      <c r="A914" t="s">
        <v>786</v>
      </c>
      <c r="B914">
        <v>2004</v>
      </c>
      <c r="C914">
        <v>64</v>
      </c>
      <c r="D914">
        <v>1</v>
      </c>
      <c r="E914" s="3">
        <v>1.0091000000000001</v>
      </c>
      <c r="F914" s="3"/>
      <c r="G914" s="3"/>
      <c r="H914" s="3"/>
      <c r="I914" s="3">
        <v>-5.62</v>
      </c>
      <c r="J914">
        <v>4</v>
      </c>
      <c r="K914">
        <v>1</v>
      </c>
      <c r="L914">
        <v>0</v>
      </c>
      <c r="M914">
        <v>0</v>
      </c>
      <c r="N914" s="3"/>
    </row>
    <row r="915" spans="1:14" x14ac:dyDescent="0.2">
      <c r="A915" t="s">
        <v>778</v>
      </c>
      <c r="B915">
        <v>2004</v>
      </c>
      <c r="C915">
        <v>64</v>
      </c>
      <c r="D915">
        <v>1</v>
      </c>
      <c r="E915" s="3">
        <v>-3.3546</v>
      </c>
      <c r="F915" s="3"/>
      <c r="G915" s="3"/>
      <c r="H915" s="3"/>
      <c r="I915" s="3">
        <v>-1.91</v>
      </c>
      <c r="J915">
        <v>-2</v>
      </c>
      <c r="K915">
        <v>0</v>
      </c>
      <c r="L915">
        <v>0</v>
      </c>
      <c r="M915">
        <v>0</v>
      </c>
      <c r="N915" s="3"/>
    </row>
    <row r="916" spans="1:14" x14ac:dyDescent="0.2">
      <c r="A916" t="s">
        <v>798</v>
      </c>
      <c r="B916">
        <v>2004</v>
      </c>
      <c r="C916">
        <v>32</v>
      </c>
      <c r="D916">
        <v>8</v>
      </c>
      <c r="E916" s="3">
        <v>8.94</v>
      </c>
      <c r="F916" s="3"/>
      <c r="G916" s="3"/>
      <c r="H916" s="3"/>
      <c r="I916" s="3">
        <v>-0.42</v>
      </c>
      <c r="J916">
        <v>4</v>
      </c>
      <c r="K916">
        <v>1</v>
      </c>
      <c r="L916">
        <v>0</v>
      </c>
      <c r="M916">
        <v>0</v>
      </c>
      <c r="N916" s="3"/>
    </row>
    <row r="917" spans="1:14" x14ac:dyDescent="0.2">
      <c r="A917" t="s">
        <v>799</v>
      </c>
      <c r="B917">
        <v>2004</v>
      </c>
      <c r="C917">
        <v>32</v>
      </c>
      <c r="D917">
        <v>8</v>
      </c>
      <c r="E917" s="3">
        <v>9.59</v>
      </c>
      <c r="F917" s="3"/>
      <c r="G917" s="3"/>
      <c r="H917" s="3"/>
      <c r="I917" s="3">
        <v>0.85</v>
      </c>
      <c r="J917">
        <v>-1</v>
      </c>
      <c r="K917">
        <v>0</v>
      </c>
      <c r="L917">
        <v>0</v>
      </c>
      <c r="M917">
        <v>0</v>
      </c>
      <c r="N917" s="3"/>
    </row>
    <row r="918" spans="1:14" x14ac:dyDescent="0.2">
      <c r="A918" t="s">
        <v>802</v>
      </c>
      <c r="B918">
        <v>2004</v>
      </c>
      <c r="C918">
        <v>32</v>
      </c>
      <c r="D918">
        <v>8</v>
      </c>
      <c r="E918" s="3">
        <v>10.01</v>
      </c>
      <c r="F918" s="3"/>
      <c r="G918" s="3"/>
      <c r="H918" s="3"/>
      <c r="I918" s="3">
        <v>5.45</v>
      </c>
      <c r="J918">
        <v>15</v>
      </c>
      <c r="K918">
        <v>1</v>
      </c>
      <c r="L918">
        <v>0</v>
      </c>
      <c r="M918">
        <v>0</v>
      </c>
      <c r="N918" s="3"/>
    </row>
    <row r="919" spans="1:14" x14ac:dyDescent="0.2">
      <c r="A919" t="s">
        <v>800</v>
      </c>
      <c r="B919">
        <v>2004</v>
      </c>
      <c r="C919">
        <v>32</v>
      </c>
      <c r="D919">
        <v>8</v>
      </c>
      <c r="E919" s="3">
        <v>7.94</v>
      </c>
      <c r="F919" s="3"/>
      <c r="G919" s="3"/>
      <c r="H919" s="3"/>
      <c r="I919" s="3">
        <v>2.4500000000000002</v>
      </c>
      <c r="J919">
        <v>-19</v>
      </c>
      <c r="K919">
        <v>0</v>
      </c>
      <c r="L919">
        <v>0</v>
      </c>
      <c r="M919">
        <v>0</v>
      </c>
      <c r="N919" s="3"/>
    </row>
    <row r="920" spans="1:14" x14ac:dyDescent="0.2">
      <c r="A920" t="s">
        <v>803</v>
      </c>
      <c r="B920">
        <v>2004</v>
      </c>
      <c r="C920">
        <v>32</v>
      </c>
      <c r="D920">
        <v>7</v>
      </c>
      <c r="E920" s="3">
        <v>13.9</v>
      </c>
      <c r="F920" s="3"/>
      <c r="G920" s="3"/>
      <c r="H920" s="3"/>
      <c r="I920" s="3">
        <v>2.88</v>
      </c>
      <c r="J920">
        <v>28</v>
      </c>
      <c r="K920">
        <v>1</v>
      </c>
      <c r="L920">
        <v>0</v>
      </c>
      <c r="M920">
        <v>0</v>
      </c>
      <c r="N920" s="3"/>
    </row>
    <row r="921" spans="1:14" x14ac:dyDescent="0.2">
      <c r="A921" t="s">
        <v>795</v>
      </c>
      <c r="B921">
        <v>2004</v>
      </c>
      <c r="C921">
        <v>32</v>
      </c>
      <c r="D921">
        <v>7</v>
      </c>
      <c r="E921" s="3">
        <v>11.21</v>
      </c>
      <c r="F921" s="3"/>
      <c r="G921" s="3"/>
      <c r="H921" s="3"/>
      <c r="I921" s="3">
        <v>2.9</v>
      </c>
      <c r="J921">
        <v>5</v>
      </c>
      <c r="K921">
        <v>1</v>
      </c>
      <c r="L921">
        <v>0</v>
      </c>
      <c r="M921">
        <v>0</v>
      </c>
      <c r="N921" s="3"/>
    </row>
    <row r="922" spans="1:14" x14ac:dyDescent="0.2">
      <c r="A922" t="s">
        <v>808</v>
      </c>
      <c r="B922">
        <v>2004</v>
      </c>
      <c r="C922">
        <v>32</v>
      </c>
      <c r="D922">
        <v>7</v>
      </c>
      <c r="E922" s="3">
        <v>7.01</v>
      </c>
      <c r="F922" s="3"/>
      <c r="G922" s="3"/>
      <c r="H922" s="3"/>
      <c r="I922" s="3">
        <v>-9.19</v>
      </c>
      <c r="J922">
        <v>-3</v>
      </c>
      <c r="K922">
        <v>0</v>
      </c>
      <c r="L922">
        <v>0</v>
      </c>
      <c r="M922">
        <v>0</v>
      </c>
      <c r="N922" s="3"/>
    </row>
    <row r="923" spans="1:14" x14ac:dyDescent="0.2">
      <c r="A923" t="s">
        <v>809</v>
      </c>
      <c r="B923">
        <v>2004</v>
      </c>
      <c r="C923">
        <v>32</v>
      </c>
      <c r="D923">
        <v>5</v>
      </c>
      <c r="E923" s="3">
        <v>14.04</v>
      </c>
      <c r="F923" s="3"/>
      <c r="G923" s="3"/>
      <c r="H923" s="3"/>
      <c r="I923" s="3">
        <v>-0.37</v>
      </c>
      <c r="J923">
        <v>17</v>
      </c>
      <c r="K923">
        <v>1</v>
      </c>
      <c r="L923">
        <v>0</v>
      </c>
      <c r="M923">
        <v>0</v>
      </c>
      <c r="N923" s="3"/>
    </row>
    <row r="924" spans="1:14" x14ac:dyDescent="0.2">
      <c r="A924" t="s">
        <v>796</v>
      </c>
      <c r="B924">
        <v>2004</v>
      </c>
      <c r="C924">
        <v>32</v>
      </c>
      <c r="D924">
        <v>5</v>
      </c>
      <c r="E924" s="3">
        <v>8.2799999999999994</v>
      </c>
      <c r="F924" s="3"/>
      <c r="G924" s="3"/>
      <c r="H924" s="3"/>
      <c r="I924" s="3">
        <v>-6.03</v>
      </c>
      <c r="J924">
        <v>17</v>
      </c>
      <c r="K924">
        <v>1</v>
      </c>
      <c r="L924">
        <v>0</v>
      </c>
      <c r="M924">
        <v>0</v>
      </c>
      <c r="N924" s="3"/>
    </row>
    <row r="925" spans="1:14" x14ac:dyDescent="0.2">
      <c r="A925" t="s">
        <v>804</v>
      </c>
      <c r="B925">
        <v>2004</v>
      </c>
      <c r="C925">
        <v>32</v>
      </c>
      <c r="D925">
        <v>5</v>
      </c>
      <c r="E925" s="3">
        <v>4.46</v>
      </c>
      <c r="F925" s="3"/>
      <c r="G925" s="3"/>
      <c r="H925" s="3"/>
      <c r="I925" s="3">
        <v>-5.21</v>
      </c>
      <c r="J925">
        <v>-15</v>
      </c>
      <c r="K925">
        <v>0</v>
      </c>
      <c r="L925">
        <v>0</v>
      </c>
      <c r="M925">
        <v>0</v>
      </c>
      <c r="N925" s="3"/>
    </row>
    <row r="926" spans="1:14" x14ac:dyDescent="0.2">
      <c r="A926" t="s">
        <v>801</v>
      </c>
      <c r="B926">
        <v>2004</v>
      </c>
      <c r="C926">
        <v>32</v>
      </c>
      <c r="D926">
        <v>3</v>
      </c>
      <c r="E926" s="3">
        <v>9.5500000000000007</v>
      </c>
      <c r="F926" s="3"/>
      <c r="G926" s="3"/>
      <c r="H926" s="3"/>
      <c r="I926" s="3">
        <v>1.1000000000000001</v>
      </c>
      <c r="J926">
        <v>3</v>
      </c>
      <c r="K926">
        <v>1</v>
      </c>
      <c r="L926">
        <v>0</v>
      </c>
      <c r="M926">
        <v>0</v>
      </c>
      <c r="N926" s="3"/>
    </row>
    <row r="927" spans="1:14" x14ac:dyDescent="0.2">
      <c r="A927" t="s">
        <v>810</v>
      </c>
      <c r="B927">
        <v>2004</v>
      </c>
      <c r="C927">
        <v>32</v>
      </c>
      <c r="D927">
        <v>3</v>
      </c>
      <c r="E927" s="3">
        <v>5.37</v>
      </c>
      <c r="F927" s="3"/>
      <c r="G927" s="3"/>
      <c r="H927" s="3"/>
      <c r="I927" s="3">
        <v>5.19</v>
      </c>
      <c r="J927">
        <v>-2</v>
      </c>
      <c r="K927">
        <v>0</v>
      </c>
      <c r="L927">
        <v>0</v>
      </c>
      <c r="M927">
        <v>0</v>
      </c>
      <c r="N927" s="3"/>
    </row>
    <row r="928" spans="1:14" x14ac:dyDescent="0.2">
      <c r="A928" t="s">
        <v>797</v>
      </c>
      <c r="B928">
        <v>2004</v>
      </c>
      <c r="C928">
        <v>32</v>
      </c>
      <c r="D928">
        <v>3</v>
      </c>
      <c r="E928" s="3">
        <v>0.95</v>
      </c>
      <c r="F928" s="3"/>
      <c r="G928" s="3"/>
      <c r="H928" s="3"/>
      <c r="I928" s="3">
        <v>-8.9700000000000006</v>
      </c>
      <c r="J928">
        <v>4</v>
      </c>
      <c r="K928">
        <v>1</v>
      </c>
      <c r="L928">
        <v>0</v>
      </c>
      <c r="M928">
        <v>0</v>
      </c>
      <c r="N928" s="3"/>
    </row>
    <row r="929" spans="1:14" x14ac:dyDescent="0.2">
      <c r="A929" t="s">
        <v>805</v>
      </c>
      <c r="B929">
        <v>2004</v>
      </c>
      <c r="C929">
        <v>32</v>
      </c>
      <c r="D929">
        <v>3</v>
      </c>
      <c r="E929" s="3">
        <v>-2.34</v>
      </c>
      <c r="F929" s="3"/>
      <c r="G929" s="3"/>
      <c r="H929" s="3"/>
      <c r="I929" s="3">
        <v>-0.78</v>
      </c>
      <c r="J929">
        <v>3</v>
      </c>
      <c r="K929">
        <v>1</v>
      </c>
      <c r="L929">
        <v>0</v>
      </c>
      <c r="M929">
        <v>0</v>
      </c>
      <c r="N929" s="3"/>
    </row>
    <row r="930" spans="1:14" x14ac:dyDescent="0.2">
      <c r="A930" t="s">
        <v>806</v>
      </c>
      <c r="B930">
        <v>2004</v>
      </c>
      <c r="C930">
        <v>32</v>
      </c>
      <c r="D930">
        <v>1</v>
      </c>
      <c r="E930" s="3">
        <v>3.17</v>
      </c>
      <c r="F930" s="3"/>
      <c r="G930" s="3"/>
      <c r="H930" s="3"/>
      <c r="I930" s="3">
        <v>-1.25</v>
      </c>
      <c r="J930">
        <v>-24</v>
      </c>
      <c r="K930">
        <v>0</v>
      </c>
      <c r="L930">
        <v>0</v>
      </c>
      <c r="M930">
        <v>0</v>
      </c>
      <c r="N930" s="3"/>
    </row>
    <row r="931" spans="1:14" x14ac:dyDescent="0.2">
      <c r="A931" t="s">
        <v>807</v>
      </c>
      <c r="B931">
        <v>2004</v>
      </c>
      <c r="C931">
        <v>32</v>
      </c>
      <c r="D931">
        <v>1</v>
      </c>
      <c r="E931" s="3">
        <v>3.96</v>
      </c>
      <c r="F931" s="3"/>
      <c r="G931" s="3"/>
      <c r="H931" s="3"/>
      <c r="I931" s="3">
        <v>3.28</v>
      </c>
      <c r="J931">
        <v>-2</v>
      </c>
      <c r="K931">
        <v>0</v>
      </c>
      <c r="L931">
        <v>0</v>
      </c>
      <c r="M931">
        <v>0</v>
      </c>
      <c r="N931" s="3"/>
    </row>
    <row r="932" spans="1:14" x14ac:dyDescent="0.2">
      <c r="A932" t="s">
        <v>815</v>
      </c>
      <c r="B932">
        <v>2004</v>
      </c>
      <c r="C932">
        <v>16</v>
      </c>
      <c r="D932">
        <v>7</v>
      </c>
      <c r="E932" s="3">
        <v>4.1500000000000004</v>
      </c>
      <c r="F932" s="3"/>
      <c r="G932" s="3"/>
      <c r="H932" s="3"/>
      <c r="I932" s="3">
        <v>-3.41</v>
      </c>
      <c r="J932">
        <v>5</v>
      </c>
      <c r="K932">
        <v>1</v>
      </c>
      <c r="L932">
        <v>0</v>
      </c>
      <c r="M932">
        <v>0</v>
      </c>
      <c r="N932" s="3"/>
    </row>
    <row r="933" spans="1:14" x14ac:dyDescent="0.2">
      <c r="A933" t="s">
        <v>817</v>
      </c>
      <c r="B933">
        <v>2004</v>
      </c>
      <c r="C933">
        <v>16</v>
      </c>
      <c r="D933">
        <v>5</v>
      </c>
      <c r="E933" s="3">
        <v>5.69</v>
      </c>
      <c r="F933" s="3"/>
      <c r="G933" s="3"/>
      <c r="H933" s="3"/>
      <c r="I933" s="3">
        <v>4.18</v>
      </c>
      <c r="J933">
        <v>26</v>
      </c>
      <c r="K933">
        <v>1</v>
      </c>
      <c r="L933">
        <v>0</v>
      </c>
      <c r="M933">
        <v>0</v>
      </c>
      <c r="N933" s="3"/>
    </row>
    <row r="934" spans="1:14" x14ac:dyDescent="0.2">
      <c r="A934" t="s">
        <v>812</v>
      </c>
      <c r="B934">
        <v>2004</v>
      </c>
      <c r="C934">
        <v>16</v>
      </c>
      <c r="D934">
        <v>4</v>
      </c>
      <c r="E934" s="3">
        <v>10.59</v>
      </c>
      <c r="F934" s="3"/>
      <c r="G934" s="3"/>
      <c r="H934" s="3"/>
      <c r="I934" s="3">
        <v>0.35</v>
      </c>
      <c r="J934">
        <v>10</v>
      </c>
      <c r="K934">
        <v>1</v>
      </c>
      <c r="L934">
        <v>0</v>
      </c>
      <c r="M934">
        <v>0</v>
      </c>
      <c r="N934" s="3"/>
    </row>
    <row r="935" spans="1:14" x14ac:dyDescent="0.2">
      <c r="A935" t="s">
        <v>814</v>
      </c>
      <c r="B935">
        <v>2004</v>
      </c>
      <c r="C935">
        <v>16</v>
      </c>
      <c r="D935">
        <v>4</v>
      </c>
      <c r="E935" s="3">
        <v>7.28</v>
      </c>
      <c r="F935" s="3"/>
      <c r="G935" s="3"/>
      <c r="H935" s="3"/>
      <c r="I935" s="3">
        <v>4.45</v>
      </c>
      <c r="J935">
        <v>20</v>
      </c>
      <c r="K935">
        <v>1</v>
      </c>
      <c r="L935">
        <v>0</v>
      </c>
      <c r="M935">
        <v>0</v>
      </c>
      <c r="N935" s="3"/>
    </row>
    <row r="936" spans="1:14" x14ac:dyDescent="0.2">
      <c r="A936" t="s">
        <v>816</v>
      </c>
      <c r="B936">
        <v>2004</v>
      </c>
      <c r="C936">
        <v>16</v>
      </c>
      <c r="D936">
        <v>4</v>
      </c>
      <c r="E936" s="3">
        <v>2.58</v>
      </c>
      <c r="F936" s="3"/>
      <c r="G936" s="3"/>
      <c r="H936" s="3"/>
      <c r="I936" s="3">
        <v>0.7</v>
      </c>
      <c r="J936">
        <v>-8</v>
      </c>
      <c r="K936">
        <v>0</v>
      </c>
      <c r="L936">
        <v>0</v>
      </c>
      <c r="M936">
        <v>0</v>
      </c>
      <c r="N936" s="3"/>
    </row>
    <row r="937" spans="1:14" x14ac:dyDescent="0.2">
      <c r="A937" t="s">
        <v>811</v>
      </c>
      <c r="B937">
        <v>2004</v>
      </c>
      <c r="C937">
        <v>16</v>
      </c>
      <c r="D937">
        <v>3</v>
      </c>
      <c r="E937" s="3">
        <v>6.01</v>
      </c>
      <c r="F937" s="3"/>
      <c r="G937" s="3"/>
      <c r="H937" s="3"/>
      <c r="I937" s="3">
        <v>3.34</v>
      </c>
      <c r="J937">
        <v>4</v>
      </c>
      <c r="K937">
        <v>1</v>
      </c>
      <c r="L937">
        <v>0</v>
      </c>
      <c r="M937">
        <v>0</v>
      </c>
      <c r="N937" s="3"/>
    </row>
    <row r="938" spans="1:14" x14ac:dyDescent="0.2">
      <c r="A938" t="s">
        <v>818</v>
      </c>
      <c r="B938">
        <v>2004</v>
      </c>
      <c r="C938">
        <v>16</v>
      </c>
      <c r="D938">
        <v>3</v>
      </c>
      <c r="E938" s="3">
        <v>0.25</v>
      </c>
      <c r="F938" s="3"/>
      <c r="G938" s="3"/>
      <c r="H938" s="3"/>
      <c r="I938" s="3">
        <v>-9.4499999999999993</v>
      </c>
      <c r="J938">
        <v>-9</v>
      </c>
      <c r="K938">
        <v>0</v>
      </c>
      <c r="L938">
        <v>0</v>
      </c>
      <c r="M938">
        <v>0</v>
      </c>
      <c r="N938" s="3"/>
    </row>
    <row r="939" spans="1:14" x14ac:dyDescent="0.2">
      <c r="A939" t="s">
        <v>813</v>
      </c>
      <c r="B939">
        <v>2004</v>
      </c>
      <c r="C939">
        <v>16</v>
      </c>
      <c r="D939">
        <v>1</v>
      </c>
      <c r="E939" s="3">
        <v>-0.03</v>
      </c>
      <c r="F939" s="3"/>
      <c r="G939" s="3"/>
      <c r="H939" s="3"/>
      <c r="I939" s="3">
        <v>1.1399999999999999</v>
      </c>
      <c r="J939">
        <v>12</v>
      </c>
      <c r="K939">
        <v>1</v>
      </c>
      <c r="L939">
        <v>0</v>
      </c>
      <c r="M939">
        <v>0</v>
      </c>
      <c r="N939" s="3"/>
    </row>
    <row r="940" spans="1:14" x14ac:dyDescent="0.2">
      <c r="A940" t="s">
        <v>820</v>
      </c>
      <c r="B940">
        <v>2004</v>
      </c>
      <c r="C940">
        <v>8</v>
      </c>
      <c r="D940">
        <v>6</v>
      </c>
      <c r="E940" s="3">
        <v>12.92</v>
      </c>
      <c r="F940" s="3"/>
      <c r="G940" s="3"/>
      <c r="H940" s="3"/>
      <c r="I940" s="3">
        <v>0.65</v>
      </c>
      <c r="J940">
        <v>3</v>
      </c>
      <c r="K940">
        <v>1</v>
      </c>
      <c r="L940">
        <v>0</v>
      </c>
      <c r="M940">
        <v>0</v>
      </c>
      <c r="N940" s="3"/>
    </row>
    <row r="941" spans="1:14" x14ac:dyDescent="0.2">
      <c r="A941" t="s">
        <v>821</v>
      </c>
      <c r="B941">
        <v>2004</v>
      </c>
      <c r="C941">
        <v>8</v>
      </c>
      <c r="D941">
        <v>6</v>
      </c>
      <c r="E941" s="3">
        <v>10.27</v>
      </c>
      <c r="F941" s="3"/>
      <c r="G941" s="3"/>
      <c r="H941" s="3"/>
      <c r="I941" s="3">
        <v>-7.56</v>
      </c>
      <c r="J941">
        <v>16</v>
      </c>
      <c r="K941">
        <v>1</v>
      </c>
      <c r="L941">
        <v>0</v>
      </c>
      <c r="M941">
        <v>0</v>
      </c>
      <c r="N941" s="3"/>
    </row>
    <row r="942" spans="1:14" x14ac:dyDescent="0.2">
      <c r="A942" t="s">
        <v>822</v>
      </c>
      <c r="B942">
        <v>2004</v>
      </c>
      <c r="C942">
        <v>8</v>
      </c>
      <c r="D942">
        <v>1</v>
      </c>
      <c r="E942" s="3">
        <v>3.28</v>
      </c>
      <c r="F942" s="3"/>
      <c r="G942" s="3"/>
      <c r="H942" s="3"/>
      <c r="I942" s="3">
        <v>-6.4</v>
      </c>
      <c r="J942">
        <v>8</v>
      </c>
      <c r="K942">
        <v>1</v>
      </c>
      <c r="L942">
        <v>0</v>
      </c>
      <c r="M942">
        <v>0</v>
      </c>
      <c r="N942" s="3"/>
    </row>
    <row r="943" spans="1:14" x14ac:dyDescent="0.2">
      <c r="A943" t="s">
        <v>819</v>
      </c>
      <c r="B943">
        <v>2004</v>
      </c>
      <c r="C943">
        <v>8</v>
      </c>
      <c r="D943">
        <v>1</v>
      </c>
      <c r="E943" s="3">
        <v>0.24</v>
      </c>
      <c r="F943" s="3"/>
      <c r="G943" s="3"/>
      <c r="H943" s="3"/>
      <c r="I943" s="3">
        <v>9.1199999999999992</v>
      </c>
      <c r="J943">
        <v>-2</v>
      </c>
      <c r="K943">
        <v>0</v>
      </c>
      <c r="L943">
        <v>0</v>
      </c>
      <c r="M943">
        <v>0</v>
      </c>
      <c r="N943" s="3"/>
    </row>
    <row r="944" spans="1:14" x14ac:dyDescent="0.2">
      <c r="A944" t="s">
        <v>823</v>
      </c>
      <c r="B944">
        <v>2004</v>
      </c>
      <c r="C944">
        <v>4</v>
      </c>
      <c r="D944">
        <v>1</v>
      </c>
      <c r="E944" s="3">
        <v>4.82</v>
      </c>
      <c r="F944" s="3"/>
      <c r="G944" s="3"/>
      <c r="H944" s="3"/>
      <c r="I944" s="3">
        <v>3.04</v>
      </c>
      <c r="J944">
        <v>-1</v>
      </c>
      <c r="K944">
        <v>0</v>
      </c>
      <c r="L944">
        <v>0</v>
      </c>
      <c r="M944">
        <v>0</v>
      </c>
      <c r="N944" s="3"/>
    </row>
    <row r="945" spans="1:14" x14ac:dyDescent="0.2">
      <c r="A945" t="s">
        <v>824</v>
      </c>
      <c r="B945">
        <v>2004</v>
      </c>
      <c r="C945">
        <v>4</v>
      </c>
      <c r="D945">
        <v>1</v>
      </c>
      <c r="E945" s="3">
        <v>2.84</v>
      </c>
      <c r="F945" s="3"/>
      <c r="G945" s="3"/>
      <c r="H945" s="3"/>
      <c r="I945" s="3">
        <v>-3.95</v>
      </c>
      <c r="J945">
        <v>-2</v>
      </c>
      <c r="K945">
        <v>0</v>
      </c>
      <c r="L945">
        <v>0</v>
      </c>
      <c r="M945">
        <v>0</v>
      </c>
      <c r="N945" s="3"/>
    </row>
    <row r="946" spans="1:14" x14ac:dyDescent="0.2">
      <c r="A946" t="s">
        <v>825</v>
      </c>
      <c r="B946">
        <v>2004</v>
      </c>
      <c r="C946">
        <v>2</v>
      </c>
      <c r="D946">
        <v>1</v>
      </c>
      <c r="E946" s="3">
        <v>3</v>
      </c>
      <c r="F946" s="3"/>
      <c r="G946" s="3"/>
      <c r="H946" s="3"/>
      <c r="I946" s="3">
        <v>-0.37</v>
      </c>
      <c r="J946">
        <v>9</v>
      </c>
      <c r="K946">
        <v>1</v>
      </c>
      <c r="L946">
        <v>0</v>
      </c>
      <c r="M946">
        <v>0</v>
      </c>
      <c r="N946" s="3"/>
    </row>
    <row r="947" spans="1:14" x14ac:dyDescent="0.2">
      <c r="A947" t="s">
        <v>840</v>
      </c>
      <c r="B947">
        <v>2003</v>
      </c>
      <c r="C947">
        <v>64</v>
      </c>
      <c r="D947">
        <v>15</v>
      </c>
      <c r="E947" s="3">
        <v>36.754800000000003</v>
      </c>
      <c r="F947" s="3"/>
      <c r="G947" s="3"/>
      <c r="H947" s="3"/>
      <c r="I947" s="3">
        <v>-2.81</v>
      </c>
      <c r="J947">
        <v>21</v>
      </c>
      <c r="K947">
        <v>1</v>
      </c>
      <c r="L947">
        <v>0</v>
      </c>
      <c r="M947">
        <v>0</v>
      </c>
      <c r="N947" s="3"/>
    </row>
    <row r="948" spans="1:14" x14ac:dyDescent="0.2">
      <c r="A948" t="s">
        <v>832</v>
      </c>
      <c r="B948">
        <v>2003</v>
      </c>
      <c r="C948">
        <v>64</v>
      </c>
      <c r="D948">
        <v>15</v>
      </c>
      <c r="E948" s="3">
        <v>32.403640000000003</v>
      </c>
      <c r="F948" s="3"/>
      <c r="G948" s="3"/>
      <c r="H948" s="3"/>
      <c r="I948" s="3">
        <v>6.5</v>
      </c>
      <c r="J948">
        <v>17</v>
      </c>
      <c r="K948">
        <v>1</v>
      </c>
      <c r="L948">
        <v>0</v>
      </c>
      <c r="M948">
        <v>0</v>
      </c>
      <c r="N948" s="3"/>
    </row>
    <row r="949" spans="1:14" x14ac:dyDescent="0.2">
      <c r="A949" t="s">
        <v>847</v>
      </c>
      <c r="B949">
        <v>2003</v>
      </c>
      <c r="C949">
        <v>64</v>
      </c>
      <c r="D949">
        <v>15</v>
      </c>
      <c r="E949" s="3">
        <v>29.005835000000001</v>
      </c>
      <c r="F949" s="3"/>
      <c r="G949" s="3"/>
      <c r="H949" s="3"/>
      <c r="I949" s="3">
        <v>5.81</v>
      </c>
      <c r="J949">
        <v>31</v>
      </c>
      <c r="K949">
        <v>1</v>
      </c>
      <c r="L949">
        <v>0</v>
      </c>
      <c r="M949">
        <v>0</v>
      </c>
      <c r="N949" s="3"/>
    </row>
    <row r="950" spans="1:14" x14ac:dyDescent="0.2">
      <c r="A950" t="s">
        <v>855</v>
      </c>
      <c r="B950">
        <v>2003</v>
      </c>
      <c r="C950">
        <v>64</v>
      </c>
      <c r="D950">
        <v>15</v>
      </c>
      <c r="E950" s="3">
        <v>24.5867</v>
      </c>
      <c r="F950" s="3"/>
      <c r="G950" s="3"/>
      <c r="H950" s="3"/>
      <c r="I950" s="3">
        <v>14.21</v>
      </c>
      <c r="J950">
        <v>29</v>
      </c>
      <c r="K950">
        <v>1</v>
      </c>
      <c r="L950">
        <v>0</v>
      </c>
      <c r="M950">
        <v>0</v>
      </c>
      <c r="N950" s="3"/>
    </row>
    <row r="951" spans="1:14" x14ac:dyDescent="0.2">
      <c r="A951" t="s">
        <v>848</v>
      </c>
      <c r="B951">
        <v>2003</v>
      </c>
      <c r="C951">
        <v>64</v>
      </c>
      <c r="D951">
        <v>13</v>
      </c>
      <c r="E951" s="3">
        <v>28.225010000000001</v>
      </c>
      <c r="F951" s="3"/>
      <c r="G951" s="3"/>
      <c r="H951" s="3"/>
      <c r="I951" s="3">
        <v>-5.46</v>
      </c>
      <c r="J951">
        <v>26</v>
      </c>
      <c r="K951">
        <v>1</v>
      </c>
      <c r="L951">
        <v>0</v>
      </c>
      <c r="M951">
        <v>0</v>
      </c>
      <c r="N951" s="3"/>
    </row>
    <row r="952" spans="1:14" x14ac:dyDescent="0.2">
      <c r="A952" t="s">
        <v>841</v>
      </c>
      <c r="B952">
        <v>2003</v>
      </c>
      <c r="C952">
        <v>64</v>
      </c>
      <c r="D952">
        <v>13</v>
      </c>
      <c r="E952" s="3">
        <v>21.70072</v>
      </c>
      <c r="F952" s="3"/>
      <c r="G952" s="3"/>
      <c r="H952" s="3"/>
      <c r="I952" s="3">
        <v>3.5</v>
      </c>
      <c r="J952">
        <v>30</v>
      </c>
      <c r="K952">
        <v>1</v>
      </c>
      <c r="L952">
        <v>0</v>
      </c>
      <c r="M952">
        <v>0</v>
      </c>
      <c r="N952" s="3"/>
    </row>
    <row r="953" spans="1:14" x14ac:dyDescent="0.2">
      <c r="A953" t="s">
        <v>856</v>
      </c>
      <c r="B953">
        <v>2003</v>
      </c>
      <c r="C953">
        <v>64</v>
      </c>
      <c r="D953">
        <v>13</v>
      </c>
      <c r="E953" s="3">
        <v>20.362490000000001</v>
      </c>
      <c r="F953" s="3"/>
      <c r="G953" s="3"/>
      <c r="H953" s="3"/>
      <c r="I953" s="3">
        <v>6.44</v>
      </c>
      <c r="J953">
        <v>3</v>
      </c>
      <c r="K953">
        <v>1</v>
      </c>
      <c r="L953">
        <v>0</v>
      </c>
      <c r="M953">
        <v>0</v>
      </c>
      <c r="N953" s="3"/>
    </row>
    <row r="954" spans="1:14" x14ac:dyDescent="0.2">
      <c r="A954" t="s">
        <v>833</v>
      </c>
      <c r="B954">
        <v>2003</v>
      </c>
      <c r="C954">
        <v>64</v>
      </c>
      <c r="D954">
        <v>13</v>
      </c>
      <c r="E954" s="3">
        <v>20.092065000000002</v>
      </c>
      <c r="F954" s="3"/>
      <c r="G954" s="3"/>
      <c r="H954" s="3"/>
      <c r="I954" s="3">
        <v>-2.4300000000000002</v>
      </c>
      <c r="J954">
        <v>3</v>
      </c>
      <c r="K954">
        <v>1</v>
      </c>
      <c r="L954">
        <v>0</v>
      </c>
      <c r="M954">
        <v>0</v>
      </c>
      <c r="N954" s="3"/>
    </row>
    <row r="955" spans="1:14" x14ac:dyDescent="0.2">
      <c r="A955" t="s">
        <v>1194</v>
      </c>
      <c r="B955">
        <v>2003</v>
      </c>
      <c r="C955">
        <v>64</v>
      </c>
      <c r="D955">
        <v>11</v>
      </c>
      <c r="E955" s="3">
        <v>14.540979999999999</v>
      </c>
      <c r="F955" s="3"/>
      <c r="G955" s="3"/>
      <c r="H955" s="3"/>
      <c r="I955" s="3">
        <v>10.59</v>
      </c>
      <c r="J955">
        <v>12</v>
      </c>
      <c r="K955">
        <v>1</v>
      </c>
      <c r="L955">
        <v>0</v>
      </c>
      <c r="M955">
        <v>0</v>
      </c>
      <c r="N955" s="3"/>
    </row>
    <row r="956" spans="1:14" x14ac:dyDescent="0.2">
      <c r="A956" t="s">
        <v>857</v>
      </c>
      <c r="B956">
        <v>2003</v>
      </c>
      <c r="C956">
        <v>64</v>
      </c>
      <c r="D956">
        <v>11</v>
      </c>
      <c r="E956" s="3">
        <v>16.52759</v>
      </c>
      <c r="F956" s="3"/>
      <c r="G956" s="3"/>
      <c r="H956" s="3"/>
      <c r="I956" s="3">
        <v>4.66</v>
      </c>
      <c r="J956">
        <v>10</v>
      </c>
      <c r="K956">
        <v>1</v>
      </c>
      <c r="L956">
        <v>0</v>
      </c>
      <c r="M956">
        <v>0</v>
      </c>
      <c r="N956" s="3"/>
    </row>
    <row r="957" spans="1:14" x14ac:dyDescent="0.2">
      <c r="A957" t="s">
        <v>849</v>
      </c>
      <c r="B957">
        <v>2003</v>
      </c>
      <c r="C957">
        <v>64</v>
      </c>
      <c r="D957">
        <v>11</v>
      </c>
      <c r="E957" s="3">
        <v>11.0413</v>
      </c>
      <c r="F957" s="3"/>
      <c r="G957" s="3"/>
      <c r="H957" s="3"/>
      <c r="I957" s="3">
        <v>4.3499999999999996</v>
      </c>
      <c r="J957">
        <v>4</v>
      </c>
      <c r="K957">
        <v>1</v>
      </c>
      <c r="L957">
        <v>0</v>
      </c>
      <c r="M957">
        <v>0</v>
      </c>
      <c r="N957" s="3"/>
    </row>
    <row r="958" spans="1:14" x14ac:dyDescent="0.2">
      <c r="A958" t="s">
        <v>834</v>
      </c>
      <c r="B958">
        <v>2003</v>
      </c>
      <c r="C958">
        <v>64</v>
      </c>
      <c r="D958">
        <v>11</v>
      </c>
      <c r="E958" s="3">
        <v>9.9324999999999992</v>
      </c>
      <c r="F958" s="3"/>
      <c r="G958" s="3"/>
      <c r="H958" s="3"/>
      <c r="I958" s="3">
        <v>1.51</v>
      </c>
      <c r="J958">
        <v>11</v>
      </c>
      <c r="K958">
        <v>1</v>
      </c>
      <c r="L958">
        <v>0</v>
      </c>
      <c r="M958">
        <v>0</v>
      </c>
      <c r="N958" s="3"/>
    </row>
    <row r="959" spans="1:14" x14ac:dyDescent="0.2">
      <c r="A959" t="s">
        <v>835</v>
      </c>
      <c r="B959">
        <v>2003</v>
      </c>
      <c r="C959">
        <v>64</v>
      </c>
      <c r="D959">
        <v>9</v>
      </c>
      <c r="E959" s="3">
        <v>20.49062</v>
      </c>
      <c r="F959" s="3"/>
      <c r="G959" s="3"/>
      <c r="H959" s="3"/>
      <c r="I959" s="3">
        <v>2.11</v>
      </c>
      <c r="J959">
        <v>22</v>
      </c>
      <c r="K959">
        <v>1</v>
      </c>
      <c r="L959">
        <v>0</v>
      </c>
      <c r="M959">
        <v>0</v>
      </c>
      <c r="N959" s="3"/>
    </row>
    <row r="960" spans="1:14" x14ac:dyDescent="0.2">
      <c r="A960" t="s">
        <v>858</v>
      </c>
      <c r="B960">
        <v>2003</v>
      </c>
      <c r="C960">
        <v>64</v>
      </c>
      <c r="D960">
        <v>9</v>
      </c>
      <c r="E960" s="3">
        <v>13.3757</v>
      </c>
      <c r="F960" s="3"/>
      <c r="G960" s="3"/>
      <c r="H960" s="3"/>
      <c r="I960" s="3">
        <v>-2.98</v>
      </c>
      <c r="J960">
        <v>5</v>
      </c>
      <c r="K960">
        <v>1</v>
      </c>
      <c r="L960">
        <v>0</v>
      </c>
      <c r="M960">
        <v>0</v>
      </c>
      <c r="N960" s="3"/>
    </row>
    <row r="961" spans="1:14" x14ac:dyDescent="0.2">
      <c r="A961" t="s">
        <v>842</v>
      </c>
      <c r="B961">
        <v>2003</v>
      </c>
      <c r="C961">
        <v>64</v>
      </c>
      <c r="D961">
        <v>9</v>
      </c>
      <c r="E961" s="3">
        <v>6.5357399999999997</v>
      </c>
      <c r="F961" s="3"/>
      <c r="G961" s="3"/>
      <c r="H961" s="3"/>
      <c r="I961" s="3">
        <v>3.24</v>
      </c>
      <c r="J961">
        <v>8</v>
      </c>
      <c r="K961">
        <v>1</v>
      </c>
      <c r="L961">
        <v>0</v>
      </c>
      <c r="M961">
        <v>0</v>
      </c>
      <c r="N961" s="3"/>
    </row>
    <row r="962" spans="1:14" x14ac:dyDescent="0.2">
      <c r="A962" t="s">
        <v>850</v>
      </c>
      <c r="B962">
        <v>2003</v>
      </c>
      <c r="C962">
        <v>64</v>
      </c>
      <c r="D962">
        <v>9</v>
      </c>
      <c r="E962" s="3">
        <v>4.3987999999999996</v>
      </c>
      <c r="F962" s="3"/>
      <c r="G962" s="3"/>
      <c r="H962" s="3"/>
      <c r="I962" s="3">
        <v>2.0299999999999998</v>
      </c>
      <c r="J962">
        <v>-13</v>
      </c>
      <c r="K962">
        <v>0</v>
      </c>
      <c r="L962">
        <v>0</v>
      </c>
      <c r="M962">
        <v>0</v>
      </c>
      <c r="N962" s="3"/>
    </row>
    <row r="963" spans="1:14" x14ac:dyDescent="0.2">
      <c r="A963" t="s">
        <v>851</v>
      </c>
      <c r="B963">
        <v>2003</v>
      </c>
      <c r="C963">
        <v>64</v>
      </c>
      <c r="D963">
        <v>7</v>
      </c>
      <c r="E963" s="3">
        <v>13.643800000000001</v>
      </c>
      <c r="F963" s="3"/>
      <c r="G963" s="3"/>
      <c r="H963" s="3"/>
      <c r="I963" s="3">
        <v>1.77</v>
      </c>
      <c r="J963">
        <v>7</v>
      </c>
      <c r="K963">
        <v>1</v>
      </c>
      <c r="L963">
        <v>0</v>
      </c>
      <c r="M963">
        <v>0</v>
      </c>
      <c r="N963" s="3"/>
    </row>
    <row r="964" spans="1:14" x14ac:dyDescent="0.2">
      <c r="A964" t="s">
        <v>859</v>
      </c>
      <c r="B964">
        <v>2003</v>
      </c>
      <c r="C964">
        <v>64</v>
      </c>
      <c r="D964">
        <v>7</v>
      </c>
      <c r="E964" s="3">
        <v>7.0439999999999996</v>
      </c>
      <c r="F964" s="3"/>
      <c r="G964" s="3"/>
      <c r="H964" s="3"/>
      <c r="I964" s="3">
        <v>7.47</v>
      </c>
      <c r="J964">
        <v>1</v>
      </c>
      <c r="K964">
        <v>1</v>
      </c>
      <c r="L964">
        <v>0</v>
      </c>
      <c r="M964">
        <v>0</v>
      </c>
      <c r="N964" s="3"/>
    </row>
    <row r="965" spans="1:14" x14ac:dyDescent="0.2">
      <c r="A965" t="s">
        <v>836</v>
      </c>
      <c r="B965">
        <v>2003</v>
      </c>
      <c r="C965">
        <v>64</v>
      </c>
      <c r="D965">
        <v>7</v>
      </c>
      <c r="E965" s="3">
        <v>7.0269000000000004</v>
      </c>
      <c r="F965" s="3"/>
      <c r="G965" s="3"/>
      <c r="H965" s="3"/>
      <c r="I965" s="3">
        <v>-0.56000000000000005</v>
      </c>
      <c r="J965">
        <v>-1</v>
      </c>
      <c r="K965">
        <v>0</v>
      </c>
      <c r="L965">
        <v>0</v>
      </c>
      <c r="M965">
        <v>0</v>
      </c>
      <c r="N965" s="3"/>
    </row>
    <row r="966" spans="1:14" x14ac:dyDescent="0.2">
      <c r="A966" t="s">
        <v>843</v>
      </c>
      <c r="B966">
        <v>2003</v>
      </c>
      <c r="C966">
        <v>64</v>
      </c>
      <c r="D966">
        <v>7</v>
      </c>
      <c r="E966" s="3">
        <v>0.18679999999999999</v>
      </c>
      <c r="F966" s="3"/>
      <c r="G966" s="3"/>
      <c r="H966" s="3"/>
      <c r="I966" s="3">
        <v>-6.44</v>
      </c>
      <c r="J966">
        <v>5</v>
      </c>
      <c r="K966">
        <v>1</v>
      </c>
      <c r="L966">
        <v>0</v>
      </c>
      <c r="M966">
        <v>0</v>
      </c>
      <c r="N966" s="3"/>
    </row>
    <row r="967" spans="1:14" x14ac:dyDescent="0.2">
      <c r="A967" t="s">
        <v>860</v>
      </c>
      <c r="B967">
        <v>2003</v>
      </c>
      <c r="C967">
        <v>64</v>
      </c>
      <c r="D967">
        <v>5</v>
      </c>
      <c r="E967" s="3">
        <v>7.9455</v>
      </c>
      <c r="F967" s="3"/>
      <c r="G967" s="3"/>
      <c r="H967" s="3"/>
      <c r="I967" s="3">
        <v>1.1599999999999999</v>
      </c>
      <c r="J967">
        <v>-6</v>
      </c>
      <c r="K967">
        <v>0</v>
      </c>
      <c r="L967">
        <v>0</v>
      </c>
      <c r="M967">
        <v>0</v>
      </c>
      <c r="N967" s="3"/>
    </row>
    <row r="968" spans="1:14" x14ac:dyDescent="0.2">
      <c r="A968" t="s">
        <v>844</v>
      </c>
      <c r="B968">
        <v>2003</v>
      </c>
      <c r="C968">
        <v>64</v>
      </c>
      <c r="D968">
        <v>5</v>
      </c>
      <c r="E968" s="3">
        <v>7.0651999999999999</v>
      </c>
      <c r="F968" s="3"/>
      <c r="G968" s="3"/>
      <c r="H968" s="3"/>
      <c r="I968" s="3">
        <v>1.8</v>
      </c>
      <c r="J968">
        <v>2</v>
      </c>
      <c r="K968">
        <v>1</v>
      </c>
      <c r="L968">
        <v>0</v>
      </c>
      <c r="M968">
        <v>0</v>
      </c>
      <c r="N968" s="3"/>
    </row>
    <row r="969" spans="1:14" x14ac:dyDescent="0.2">
      <c r="A969" t="s">
        <v>852</v>
      </c>
      <c r="B969">
        <v>2003</v>
      </c>
      <c r="C969">
        <v>64</v>
      </c>
      <c r="D969">
        <v>5</v>
      </c>
      <c r="E969" s="3">
        <v>5.7904</v>
      </c>
      <c r="F969" s="3"/>
      <c r="G969" s="3"/>
      <c r="H969" s="3"/>
      <c r="I969" s="3">
        <v>1.24</v>
      </c>
      <c r="J969">
        <v>1</v>
      </c>
      <c r="K969">
        <v>1</v>
      </c>
      <c r="L969">
        <v>0</v>
      </c>
      <c r="M969">
        <v>0</v>
      </c>
      <c r="N969" s="3"/>
    </row>
    <row r="970" spans="1:14" x14ac:dyDescent="0.2">
      <c r="A970" t="s">
        <v>837</v>
      </c>
      <c r="B970">
        <v>2003</v>
      </c>
      <c r="C970">
        <v>64</v>
      </c>
      <c r="D970">
        <v>5</v>
      </c>
      <c r="E970" s="3">
        <v>3.0706000000000002</v>
      </c>
      <c r="F970" s="3"/>
      <c r="G970" s="3"/>
      <c r="H970" s="3"/>
      <c r="I970" s="3">
        <v>-2.5</v>
      </c>
      <c r="J970">
        <v>14</v>
      </c>
      <c r="K970">
        <v>1</v>
      </c>
      <c r="L970">
        <v>0</v>
      </c>
      <c r="M970">
        <v>0</v>
      </c>
      <c r="N970" s="3"/>
    </row>
    <row r="971" spans="1:14" x14ac:dyDescent="0.2">
      <c r="A971" t="s">
        <v>838</v>
      </c>
      <c r="B971">
        <v>2003</v>
      </c>
      <c r="C971">
        <v>64</v>
      </c>
      <c r="D971">
        <v>3</v>
      </c>
      <c r="E971" s="3">
        <v>8.7081</v>
      </c>
      <c r="F971" s="3"/>
      <c r="G971" s="3"/>
      <c r="H971" s="3"/>
      <c r="I971" s="3">
        <v>5.73</v>
      </c>
      <c r="J971">
        <v>-2</v>
      </c>
      <c r="K971">
        <v>0</v>
      </c>
      <c r="L971">
        <v>0</v>
      </c>
      <c r="M971">
        <v>0</v>
      </c>
      <c r="N971" s="3"/>
    </row>
    <row r="972" spans="1:14" x14ac:dyDescent="0.2">
      <c r="A972" t="s">
        <v>845</v>
      </c>
      <c r="B972">
        <v>2003</v>
      </c>
      <c r="C972">
        <v>64</v>
      </c>
      <c r="D972">
        <v>3</v>
      </c>
      <c r="E972" s="3">
        <v>1.9201999999999999</v>
      </c>
      <c r="F972" s="3"/>
      <c r="G972" s="3"/>
      <c r="H972" s="3"/>
      <c r="I972" s="3">
        <v>5.48</v>
      </c>
      <c r="J972">
        <v>15</v>
      </c>
      <c r="K972">
        <v>1</v>
      </c>
      <c r="L972">
        <v>0</v>
      </c>
      <c r="M972">
        <v>0</v>
      </c>
      <c r="N972" s="3"/>
    </row>
    <row r="973" spans="1:14" x14ac:dyDescent="0.2">
      <c r="A973" t="s">
        <v>853</v>
      </c>
      <c r="B973">
        <v>2003</v>
      </c>
      <c r="C973">
        <v>64</v>
      </c>
      <c r="D973">
        <v>3</v>
      </c>
      <c r="E973" s="3">
        <v>-0.90469999999999995</v>
      </c>
      <c r="F973" s="3"/>
      <c r="G973" s="3"/>
      <c r="H973" s="3"/>
      <c r="I973" s="3">
        <v>4.01</v>
      </c>
      <c r="J973">
        <v>5</v>
      </c>
      <c r="K973">
        <v>1</v>
      </c>
      <c r="L973">
        <v>0</v>
      </c>
      <c r="M973">
        <v>0</v>
      </c>
      <c r="N973" s="3"/>
    </row>
    <row r="974" spans="1:14" x14ac:dyDescent="0.2">
      <c r="A974" t="s">
        <v>861</v>
      </c>
      <c r="B974">
        <v>2003</v>
      </c>
      <c r="C974">
        <v>64</v>
      </c>
      <c r="D974">
        <v>3</v>
      </c>
      <c r="E974" s="3">
        <v>1.0853999999999999</v>
      </c>
      <c r="F974" s="3"/>
      <c r="G974" s="3"/>
      <c r="H974" s="3"/>
      <c r="I974" s="3">
        <v>-1.92</v>
      </c>
      <c r="J974">
        <v>-13</v>
      </c>
      <c r="K974">
        <v>0</v>
      </c>
      <c r="L974">
        <v>0</v>
      </c>
      <c r="M974">
        <v>0</v>
      </c>
      <c r="N974" s="3"/>
    </row>
    <row r="975" spans="1:14" x14ac:dyDescent="0.2">
      <c r="A975" t="s">
        <v>839</v>
      </c>
      <c r="B975">
        <v>2003</v>
      </c>
      <c r="C975">
        <v>64</v>
      </c>
      <c r="D975">
        <v>1</v>
      </c>
      <c r="E975" s="3">
        <v>0.55230000000000001</v>
      </c>
      <c r="F975" s="3"/>
      <c r="G975" s="3"/>
      <c r="H975" s="3"/>
      <c r="I975" s="3">
        <v>5.52</v>
      </c>
      <c r="J975">
        <v>2</v>
      </c>
      <c r="K975">
        <v>1</v>
      </c>
      <c r="L975">
        <v>0</v>
      </c>
      <c r="M975">
        <v>0</v>
      </c>
      <c r="N975" s="3"/>
    </row>
    <row r="976" spans="1:14" x14ac:dyDescent="0.2">
      <c r="A976" t="s">
        <v>862</v>
      </c>
      <c r="B976">
        <v>2003</v>
      </c>
      <c r="C976">
        <v>64</v>
      </c>
      <c r="D976">
        <v>1</v>
      </c>
      <c r="E976" s="3">
        <v>0.37890000000000001</v>
      </c>
      <c r="F976" s="3"/>
      <c r="G976" s="3"/>
      <c r="H976" s="3"/>
      <c r="I976" s="3">
        <v>0</v>
      </c>
      <c r="J976">
        <v>-5</v>
      </c>
      <c r="K976">
        <v>0</v>
      </c>
      <c r="L976">
        <v>0</v>
      </c>
      <c r="M976">
        <v>0</v>
      </c>
      <c r="N976" s="3"/>
    </row>
    <row r="977" spans="1:14" x14ac:dyDescent="0.2">
      <c r="A977" t="s">
        <v>846</v>
      </c>
      <c r="B977">
        <v>2003</v>
      </c>
      <c r="C977">
        <v>64</v>
      </c>
      <c r="D977">
        <v>1</v>
      </c>
      <c r="E977" s="3">
        <v>4.0754000000000001</v>
      </c>
      <c r="F977" s="3"/>
      <c r="G977" s="3"/>
      <c r="H977" s="3"/>
      <c r="I977" s="3">
        <v>-11.89</v>
      </c>
      <c r="J977">
        <v>-24</v>
      </c>
      <c r="K977">
        <v>0</v>
      </c>
      <c r="L977">
        <v>0</v>
      </c>
      <c r="M977">
        <v>0</v>
      </c>
      <c r="N977" s="3"/>
    </row>
    <row r="978" spans="1:14" x14ac:dyDescent="0.2">
      <c r="A978" t="s">
        <v>854</v>
      </c>
      <c r="B978">
        <v>2003</v>
      </c>
      <c r="C978">
        <v>64</v>
      </c>
      <c r="D978">
        <v>1</v>
      </c>
      <c r="E978" s="3">
        <v>-0.49619999999999997</v>
      </c>
      <c r="F978" s="3"/>
      <c r="G978" s="3"/>
      <c r="H978" s="3"/>
      <c r="I978" s="3">
        <v>-5.38</v>
      </c>
      <c r="J978">
        <v>-2</v>
      </c>
      <c r="K978">
        <v>0</v>
      </c>
      <c r="L978">
        <v>0</v>
      </c>
      <c r="M978">
        <v>0</v>
      </c>
      <c r="N978" s="3"/>
    </row>
    <row r="979" spans="1:14" x14ac:dyDescent="0.2">
      <c r="A979" t="s">
        <v>874</v>
      </c>
      <c r="B979">
        <v>2003</v>
      </c>
      <c r="C979">
        <v>32</v>
      </c>
      <c r="D979">
        <v>8</v>
      </c>
      <c r="E979" s="3">
        <v>15.12</v>
      </c>
      <c r="F979" s="3"/>
      <c r="G979" s="3"/>
      <c r="H979" s="3"/>
      <c r="I979" s="3">
        <v>3.55</v>
      </c>
      <c r="J979">
        <v>20</v>
      </c>
      <c r="K979">
        <v>1</v>
      </c>
      <c r="L979">
        <v>0</v>
      </c>
      <c r="M979">
        <v>0</v>
      </c>
      <c r="N979" s="3"/>
    </row>
    <row r="980" spans="1:14" x14ac:dyDescent="0.2">
      <c r="A980" t="s">
        <v>883</v>
      </c>
      <c r="B980">
        <v>2003</v>
      </c>
      <c r="C980">
        <v>32</v>
      </c>
      <c r="D980">
        <v>8</v>
      </c>
      <c r="E980" s="3">
        <v>11.92</v>
      </c>
      <c r="F980" s="3"/>
      <c r="G980" s="3"/>
      <c r="H980" s="3"/>
      <c r="I980" s="3">
        <v>2.68</v>
      </c>
      <c r="J980">
        <v>26</v>
      </c>
      <c r="K980">
        <v>1</v>
      </c>
      <c r="L980">
        <v>0</v>
      </c>
      <c r="M980">
        <v>0</v>
      </c>
      <c r="N980" s="3"/>
    </row>
    <row r="981" spans="1:14" x14ac:dyDescent="0.2">
      <c r="A981" t="s">
        <v>881</v>
      </c>
      <c r="B981">
        <v>2003</v>
      </c>
      <c r="C981">
        <v>32</v>
      </c>
      <c r="D981">
        <v>8</v>
      </c>
      <c r="E981" s="3">
        <v>11.55</v>
      </c>
      <c r="F981" s="3"/>
      <c r="G981" s="3"/>
      <c r="H981" s="3"/>
      <c r="I981" s="3">
        <v>3.71</v>
      </c>
      <c r="J981">
        <v>1</v>
      </c>
      <c r="K981">
        <v>1</v>
      </c>
      <c r="L981">
        <v>0</v>
      </c>
      <c r="M981">
        <v>0</v>
      </c>
      <c r="N981" s="3"/>
    </row>
    <row r="982" spans="1:14" x14ac:dyDescent="0.2">
      <c r="A982" t="s">
        <v>877</v>
      </c>
      <c r="B982">
        <v>2003</v>
      </c>
      <c r="C982">
        <v>32</v>
      </c>
      <c r="D982">
        <v>8</v>
      </c>
      <c r="E982" s="3">
        <v>9.89</v>
      </c>
      <c r="F982" s="3"/>
      <c r="G982" s="3"/>
      <c r="H982" s="3"/>
      <c r="I982" s="3">
        <v>-2.91</v>
      </c>
      <c r="J982">
        <v>1</v>
      </c>
      <c r="K982">
        <v>1</v>
      </c>
      <c r="L982">
        <v>0</v>
      </c>
      <c r="M982">
        <v>0</v>
      </c>
      <c r="N982" s="3"/>
    </row>
    <row r="983" spans="1:14" x14ac:dyDescent="0.2">
      <c r="A983" t="s">
        <v>882</v>
      </c>
      <c r="B983">
        <v>2003</v>
      </c>
      <c r="C983">
        <v>32</v>
      </c>
      <c r="D983">
        <v>8</v>
      </c>
      <c r="E983" s="3">
        <v>8.68</v>
      </c>
      <c r="F983" s="3"/>
      <c r="G983" s="3"/>
      <c r="H983" s="3"/>
      <c r="I983" s="3">
        <v>-0.75</v>
      </c>
      <c r="J983">
        <v>32</v>
      </c>
      <c r="K983">
        <v>1</v>
      </c>
      <c r="L983">
        <v>0</v>
      </c>
      <c r="M983">
        <v>0</v>
      </c>
      <c r="N983" s="3"/>
    </row>
    <row r="984" spans="1:14" x14ac:dyDescent="0.2">
      <c r="A984" t="s">
        <v>866</v>
      </c>
      <c r="B984">
        <v>2003</v>
      </c>
      <c r="C984">
        <v>32</v>
      </c>
      <c r="D984">
        <v>8</v>
      </c>
      <c r="E984" s="3">
        <v>7.71</v>
      </c>
      <c r="F984" s="3"/>
      <c r="G984" s="3"/>
      <c r="H984" s="3"/>
      <c r="I984" s="3">
        <v>7.01</v>
      </c>
      <c r="J984">
        <v>-8</v>
      </c>
      <c r="K984">
        <v>0</v>
      </c>
      <c r="L984">
        <v>0</v>
      </c>
      <c r="M984">
        <v>0</v>
      </c>
      <c r="N984" s="3"/>
    </row>
    <row r="985" spans="1:14" x14ac:dyDescent="0.2">
      <c r="A985" t="s">
        <v>864</v>
      </c>
      <c r="B985">
        <v>2003</v>
      </c>
      <c r="C985">
        <v>32</v>
      </c>
      <c r="D985">
        <v>8</v>
      </c>
      <c r="E985" s="3">
        <v>7.38</v>
      </c>
      <c r="F985" s="3"/>
      <c r="G985" s="3"/>
      <c r="H985" s="3"/>
      <c r="I985" s="3">
        <v>0.06</v>
      </c>
      <c r="J985">
        <v>-6</v>
      </c>
      <c r="K985">
        <v>0</v>
      </c>
      <c r="L985">
        <v>0</v>
      </c>
      <c r="M985">
        <v>0</v>
      </c>
      <c r="N985" s="3"/>
    </row>
    <row r="986" spans="1:14" x14ac:dyDescent="0.2">
      <c r="A986" t="s">
        <v>873</v>
      </c>
      <c r="B986">
        <v>2003</v>
      </c>
      <c r="C986">
        <v>32</v>
      </c>
      <c r="D986">
        <v>8</v>
      </c>
      <c r="E986" s="3">
        <v>5.16</v>
      </c>
      <c r="F986" s="3"/>
      <c r="G986" s="3"/>
      <c r="H986" s="3"/>
      <c r="I986" s="3">
        <v>-3.02</v>
      </c>
      <c r="J986">
        <v>10</v>
      </c>
      <c r="K986">
        <v>1</v>
      </c>
      <c r="L986">
        <v>0</v>
      </c>
      <c r="M986">
        <v>0</v>
      </c>
      <c r="N986" s="3"/>
    </row>
    <row r="987" spans="1:14" x14ac:dyDescent="0.2">
      <c r="A987" t="s">
        <v>863</v>
      </c>
      <c r="B987">
        <v>2003</v>
      </c>
      <c r="C987">
        <v>32</v>
      </c>
      <c r="D987">
        <v>7</v>
      </c>
      <c r="E987" s="3">
        <v>9.1199999999999992</v>
      </c>
      <c r="F987" s="3"/>
      <c r="G987" s="3"/>
      <c r="H987" s="3"/>
      <c r="I987" s="3">
        <v>0.27</v>
      </c>
      <c r="J987">
        <v>9</v>
      </c>
      <c r="K987">
        <v>1</v>
      </c>
      <c r="L987">
        <v>0</v>
      </c>
      <c r="M987">
        <v>0</v>
      </c>
      <c r="N987" s="3"/>
    </row>
    <row r="988" spans="1:14" x14ac:dyDescent="0.2">
      <c r="A988" t="s">
        <v>875</v>
      </c>
      <c r="B988">
        <v>2003</v>
      </c>
      <c r="C988">
        <v>32</v>
      </c>
      <c r="D988">
        <v>5</v>
      </c>
      <c r="E988" s="3">
        <v>12.19</v>
      </c>
      <c r="F988" s="3"/>
      <c r="G988" s="3"/>
      <c r="H988" s="3"/>
      <c r="I988" s="3">
        <v>-14.7</v>
      </c>
      <c r="J988">
        <v>22</v>
      </c>
      <c r="K988">
        <v>1</v>
      </c>
      <c r="L988">
        <v>0</v>
      </c>
      <c r="M988">
        <v>0</v>
      </c>
      <c r="N988" s="3"/>
    </row>
    <row r="989" spans="1:14" x14ac:dyDescent="0.2">
      <c r="A989" t="s">
        <v>870</v>
      </c>
      <c r="B989">
        <v>2003</v>
      </c>
      <c r="C989">
        <v>32</v>
      </c>
      <c r="D989">
        <v>5</v>
      </c>
      <c r="E989" s="3">
        <v>4.9400000000000004</v>
      </c>
      <c r="F989" s="3"/>
      <c r="G989" s="3"/>
      <c r="H989" s="3"/>
      <c r="I989" s="3">
        <v>-5.05</v>
      </c>
      <c r="J989">
        <v>-22</v>
      </c>
      <c r="K989">
        <v>0</v>
      </c>
      <c r="L989">
        <v>0</v>
      </c>
      <c r="M989">
        <v>0</v>
      </c>
      <c r="N989" s="3"/>
    </row>
    <row r="990" spans="1:14" x14ac:dyDescent="0.2">
      <c r="A990" t="s">
        <v>876</v>
      </c>
      <c r="B990">
        <v>2003</v>
      </c>
      <c r="C990">
        <v>32</v>
      </c>
      <c r="D990">
        <v>3</v>
      </c>
      <c r="E990" s="3">
        <v>3.41</v>
      </c>
      <c r="F990" s="3"/>
      <c r="G990" s="3"/>
      <c r="H990" s="3"/>
      <c r="I990" s="3">
        <v>-3.4</v>
      </c>
      <c r="J990">
        <v>9</v>
      </c>
      <c r="K990">
        <v>1</v>
      </c>
      <c r="L990">
        <v>0</v>
      </c>
      <c r="M990">
        <v>0</v>
      </c>
      <c r="N990" s="3"/>
    </row>
    <row r="991" spans="1:14" x14ac:dyDescent="0.2">
      <c r="A991" t="s">
        <v>865</v>
      </c>
      <c r="B991">
        <v>2003</v>
      </c>
      <c r="C991">
        <v>32</v>
      </c>
      <c r="D991">
        <v>3</v>
      </c>
      <c r="E991" s="3">
        <v>2.54</v>
      </c>
      <c r="F991" s="3"/>
      <c r="G991" s="3"/>
      <c r="H991" s="3"/>
      <c r="I991" s="3">
        <v>-0.73</v>
      </c>
      <c r="J991">
        <v>12</v>
      </c>
      <c r="K991">
        <v>1</v>
      </c>
      <c r="L991">
        <v>0</v>
      </c>
      <c r="M991">
        <v>0</v>
      </c>
      <c r="N991" s="3"/>
    </row>
    <row r="992" spans="1:14" x14ac:dyDescent="0.2">
      <c r="A992" t="s">
        <v>871</v>
      </c>
      <c r="B992">
        <v>2003</v>
      </c>
      <c r="C992">
        <v>32</v>
      </c>
      <c r="D992">
        <v>3</v>
      </c>
      <c r="E992" s="3">
        <v>-0.71</v>
      </c>
      <c r="F992" s="3"/>
      <c r="G992" s="3"/>
      <c r="H992" s="3"/>
      <c r="I992" s="3">
        <v>7</v>
      </c>
      <c r="J992">
        <v>-13</v>
      </c>
      <c r="K992">
        <v>0</v>
      </c>
      <c r="L992">
        <v>0</v>
      </c>
      <c r="M992">
        <v>0</v>
      </c>
      <c r="N992" s="3"/>
    </row>
    <row r="993" spans="1:14" x14ac:dyDescent="0.2">
      <c r="A993" t="s">
        <v>878</v>
      </c>
      <c r="B993">
        <v>2003</v>
      </c>
      <c r="C993">
        <v>32</v>
      </c>
      <c r="D993">
        <v>1</v>
      </c>
      <c r="E993" s="3">
        <v>5.75</v>
      </c>
      <c r="F993" s="3"/>
      <c r="G993" s="3"/>
      <c r="H993" s="3"/>
      <c r="I993" s="3">
        <v>-7.48</v>
      </c>
      <c r="J993">
        <v>-8</v>
      </c>
      <c r="K993">
        <v>0</v>
      </c>
      <c r="L993">
        <v>0</v>
      </c>
      <c r="M993">
        <v>0</v>
      </c>
      <c r="N993" s="3"/>
    </row>
    <row r="994" spans="1:14" x14ac:dyDescent="0.2">
      <c r="A994" t="s">
        <v>872</v>
      </c>
      <c r="B994">
        <v>2003</v>
      </c>
      <c r="C994">
        <v>32</v>
      </c>
      <c r="D994">
        <v>1</v>
      </c>
      <c r="E994" s="3">
        <v>-3.38</v>
      </c>
      <c r="F994" s="3"/>
      <c r="G994" s="3"/>
      <c r="H994" s="3"/>
      <c r="I994" s="3">
        <v>7.57</v>
      </c>
      <c r="J994">
        <v>-11</v>
      </c>
      <c r="K994">
        <v>0</v>
      </c>
      <c r="L994">
        <v>0</v>
      </c>
      <c r="M994">
        <v>0</v>
      </c>
      <c r="N994" s="3"/>
    </row>
    <row r="995" spans="1:14" x14ac:dyDescent="0.2">
      <c r="A995" t="s">
        <v>867</v>
      </c>
      <c r="B995">
        <v>2003</v>
      </c>
      <c r="C995">
        <v>16</v>
      </c>
      <c r="D995">
        <v>11</v>
      </c>
      <c r="E995" s="3">
        <v>6.6</v>
      </c>
      <c r="F995" s="3"/>
      <c r="G995" s="3"/>
      <c r="H995" s="3"/>
      <c r="I995" s="3">
        <v>2.36</v>
      </c>
      <c r="J995">
        <v>11</v>
      </c>
      <c r="K995">
        <v>1</v>
      </c>
      <c r="L995">
        <v>0</v>
      </c>
      <c r="M995">
        <v>0</v>
      </c>
      <c r="N995" s="3"/>
    </row>
    <row r="996" spans="1:14" x14ac:dyDescent="0.2">
      <c r="A996" t="s">
        <v>885</v>
      </c>
      <c r="B996">
        <v>2003</v>
      </c>
      <c r="C996">
        <v>16</v>
      </c>
      <c r="D996">
        <v>7</v>
      </c>
      <c r="E996" s="3">
        <v>8.0299999999999994</v>
      </c>
      <c r="F996" s="3"/>
      <c r="G996" s="3"/>
      <c r="H996" s="3"/>
      <c r="I996" s="3">
        <v>1.22</v>
      </c>
      <c r="J996">
        <v>1</v>
      </c>
      <c r="K996">
        <v>1</v>
      </c>
      <c r="L996">
        <v>0</v>
      </c>
      <c r="M996">
        <v>0</v>
      </c>
      <c r="N996" s="3"/>
    </row>
    <row r="997" spans="1:14" x14ac:dyDescent="0.2">
      <c r="A997" t="s">
        <v>879</v>
      </c>
      <c r="B997">
        <v>2003</v>
      </c>
      <c r="C997">
        <v>16</v>
      </c>
      <c r="D997">
        <v>4</v>
      </c>
      <c r="E997" s="3">
        <v>8.0299999999999994</v>
      </c>
      <c r="F997" s="3"/>
      <c r="G997" s="3"/>
      <c r="H997" s="3"/>
      <c r="I997" s="3">
        <v>4.9000000000000004</v>
      </c>
      <c r="J997">
        <v>6</v>
      </c>
      <c r="K997">
        <v>1</v>
      </c>
      <c r="L997">
        <v>0</v>
      </c>
      <c r="M997">
        <v>0</v>
      </c>
      <c r="N997" s="3"/>
    </row>
    <row r="998" spans="1:14" x14ac:dyDescent="0.2">
      <c r="A998" t="s">
        <v>880</v>
      </c>
      <c r="B998">
        <v>2003</v>
      </c>
      <c r="C998">
        <v>16</v>
      </c>
      <c r="D998">
        <v>4</v>
      </c>
      <c r="E998" s="3">
        <v>5.4</v>
      </c>
      <c r="F998" s="3"/>
      <c r="G998" s="3"/>
      <c r="H998" s="3"/>
      <c r="I998" s="3">
        <v>3.43</v>
      </c>
      <c r="J998">
        <v>17</v>
      </c>
      <c r="K998">
        <v>1</v>
      </c>
      <c r="L998">
        <v>0</v>
      </c>
      <c r="M998">
        <v>0</v>
      </c>
      <c r="N998" s="3"/>
    </row>
    <row r="999" spans="1:14" x14ac:dyDescent="0.2">
      <c r="A999" t="s">
        <v>868</v>
      </c>
      <c r="B999">
        <v>2003</v>
      </c>
      <c r="C999">
        <v>16</v>
      </c>
      <c r="D999">
        <v>4</v>
      </c>
      <c r="E999" s="3">
        <v>4.1100000000000003</v>
      </c>
      <c r="F999" s="3"/>
      <c r="G999" s="3"/>
      <c r="H999" s="3"/>
      <c r="I999" s="3">
        <v>5.34</v>
      </c>
      <c r="J999">
        <v>4</v>
      </c>
      <c r="K999">
        <v>1</v>
      </c>
      <c r="L999">
        <v>0</v>
      </c>
      <c r="M999">
        <v>0</v>
      </c>
      <c r="N999" s="3"/>
    </row>
    <row r="1000" spans="1:14" x14ac:dyDescent="0.2">
      <c r="A1000" t="s">
        <v>869</v>
      </c>
      <c r="B1000">
        <v>2003</v>
      </c>
      <c r="C1000">
        <v>16</v>
      </c>
      <c r="D1000">
        <v>1</v>
      </c>
      <c r="E1000" s="3">
        <v>7.99</v>
      </c>
      <c r="F1000" s="3"/>
      <c r="G1000" s="3"/>
      <c r="H1000" s="3"/>
      <c r="I1000" s="3">
        <v>-6.89</v>
      </c>
      <c r="J1000">
        <v>-3</v>
      </c>
      <c r="K1000">
        <v>0</v>
      </c>
      <c r="L1000">
        <v>0</v>
      </c>
      <c r="M1000">
        <v>0</v>
      </c>
      <c r="N1000" s="3"/>
    </row>
    <row r="1001" spans="1:14" x14ac:dyDescent="0.2">
      <c r="A1001" t="s">
        <v>884</v>
      </c>
      <c r="B1001">
        <v>2003</v>
      </c>
      <c r="C1001">
        <v>16</v>
      </c>
      <c r="D1001">
        <v>1</v>
      </c>
      <c r="E1001" s="3">
        <v>3.59</v>
      </c>
      <c r="F1001" s="3"/>
      <c r="G1001" s="3"/>
      <c r="H1001" s="3"/>
      <c r="I1001" s="3">
        <v>3.37</v>
      </c>
      <c r="J1001">
        <v>4</v>
      </c>
      <c r="K1001">
        <v>1</v>
      </c>
      <c r="L1001">
        <v>0</v>
      </c>
      <c r="M1001">
        <v>0</v>
      </c>
      <c r="N1001" s="3"/>
    </row>
    <row r="1002" spans="1:14" x14ac:dyDescent="0.2">
      <c r="A1002" t="s">
        <v>886</v>
      </c>
      <c r="B1002">
        <v>2003</v>
      </c>
      <c r="C1002">
        <v>16</v>
      </c>
      <c r="D1002">
        <v>1</v>
      </c>
      <c r="E1002" s="3">
        <v>1.68</v>
      </c>
      <c r="F1002" s="3"/>
      <c r="G1002" s="3"/>
      <c r="H1002" s="3"/>
      <c r="I1002" s="3">
        <v>-7.7</v>
      </c>
      <c r="J1002">
        <v>-2</v>
      </c>
      <c r="K1002">
        <v>0</v>
      </c>
      <c r="L1002">
        <v>0</v>
      </c>
      <c r="M1002">
        <v>0</v>
      </c>
      <c r="N1002" s="3"/>
    </row>
    <row r="1003" spans="1:14" x14ac:dyDescent="0.2">
      <c r="A1003" t="s">
        <v>888</v>
      </c>
      <c r="B1003">
        <v>2003</v>
      </c>
      <c r="C1003">
        <v>8</v>
      </c>
      <c r="D1003">
        <v>6</v>
      </c>
      <c r="E1003" s="3">
        <v>2.91</v>
      </c>
      <c r="F1003" s="3"/>
      <c r="G1003" s="3"/>
      <c r="H1003" s="3"/>
      <c r="I1003" s="3">
        <v>-1.41</v>
      </c>
      <c r="J1003">
        <v>9</v>
      </c>
      <c r="K1003">
        <v>1</v>
      </c>
      <c r="L1003">
        <v>0</v>
      </c>
      <c r="M1003">
        <v>0</v>
      </c>
      <c r="N1003" s="3"/>
    </row>
    <row r="1004" spans="1:14" x14ac:dyDescent="0.2">
      <c r="A1004" t="s">
        <v>889</v>
      </c>
      <c r="B1004">
        <v>2003</v>
      </c>
      <c r="C1004">
        <v>8</v>
      </c>
      <c r="D1004">
        <v>2</v>
      </c>
      <c r="E1004" s="3">
        <v>9.01</v>
      </c>
      <c r="F1004" s="3"/>
      <c r="G1004" s="3"/>
      <c r="H1004" s="3"/>
      <c r="I1004" s="3">
        <v>5.07</v>
      </c>
      <c r="J1004">
        <v>-14</v>
      </c>
      <c r="K1004">
        <v>0</v>
      </c>
      <c r="L1004">
        <v>0</v>
      </c>
      <c r="M1004">
        <v>0</v>
      </c>
      <c r="N1004" s="3"/>
    </row>
    <row r="1005" spans="1:14" x14ac:dyDescent="0.2">
      <c r="A1005" t="s">
        <v>887</v>
      </c>
      <c r="B1005">
        <v>2003</v>
      </c>
      <c r="C1005">
        <v>8</v>
      </c>
      <c r="D1005">
        <v>2</v>
      </c>
      <c r="E1005" s="3">
        <v>2.81</v>
      </c>
      <c r="F1005" s="3"/>
      <c r="G1005" s="3"/>
      <c r="H1005" s="3"/>
      <c r="I1005" s="3">
        <v>1.85</v>
      </c>
      <c r="J1005">
        <v>-16</v>
      </c>
      <c r="K1005">
        <v>0</v>
      </c>
      <c r="L1005">
        <v>0</v>
      </c>
      <c r="M1005">
        <v>0</v>
      </c>
      <c r="N1005" s="3"/>
    </row>
    <row r="1006" spans="1:14" x14ac:dyDescent="0.2">
      <c r="A1006" t="s">
        <v>890</v>
      </c>
      <c r="B1006">
        <v>2003</v>
      </c>
      <c r="C1006">
        <v>8</v>
      </c>
      <c r="D1006">
        <v>1</v>
      </c>
      <c r="E1006" s="3">
        <v>-0.76</v>
      </c>
      <c r="F1006" s="3"/>
      <c r="G1006" s="3"/>
      <c r="H1006" s="3"/>
      <c r="I1006" s="3">
        <v>2.69</v>
      </c>
      <c r="J1006">
        <v>-3</v>
      </c>
      <c r="K1006">
        <v>0</v>
      </c>
      <c r="L1006">
        <v>0</v>
      </c>
      <c r="M1006">
        <v>0</v>
      </c>
      <c r="N1006" s="3"/>
    </row>
    <row r="1007" spans="1:14" x14ac:dyDescent="0.2">
      <c r="A1007" t="s">
        <v>891</v>
      </c>
      <c r="B1007">
        <v>2003</v>
      </c>
      <c r="C1007">
        <v>4</v>
      </c>
      <c r="D1007">
        <v>2</v>
      </c>
      <c r="E1007" s="3">
        <v>1.79</v>
      </c>
      <c r="F1007" s="3"/>
      <c r="G1007" s="3"/>
      <c r="H1007" s="3"/>
      <c r="I1007" s="3">
        <v>4.26</v>
      </c>
      <c r="J1007">
        <v>-11</v>
      </c>
      <c r="K1007">
        <v>0</v>
      </c>
      <c r="L1007">
        <v>0</v>
      </c>
      <c r="M1007">
        <v>0</v>
      </c>
      <c r="N1007" s="3"/>
    </row>
    <row r="1008" spans="1:14" x14ac:dyDescent="0.2">
      <c r="A1008" t="s">
        <v>892</v>
      </c>
      <c r="B1008">
        <v>2003</v>
      </c>
      <c r="C1008">
        <v>4</v>
      </c>
      <c r="D1008">
        <v>1</v>
      </c>
      <c r="E1008" s="3">
        <v>4.96</v>
      </c>
      <c r="F1008" s="3"/>
      <c r="G1008" s="3"/>
      <c r="H1008" s="3"/>
      <c r="I1008" s="3">
        <v>5.48</v>
      </c>
      <c r="J1008">
        <v>33</v>
      </c>
      <c r="K1008">
        <v>1</v>
      </c>
      <c r="L1008">
        <v>0</v>
      </c>
      <c r="M1008">
        <v>0</v>
      </c>
      <c r="N1008" s="3"/>
    </row>
    <row r="1009" spans="1:14" x14ac:dyDescent="0.2">
      <c r="A1009" t="s">
        <v>893</v>
      </c>
      <c r="B1009">
        <v>2003</v>
      </c>
      <c r="C1009">
        <v>2</v>
      </c>
      <c r="D1009">
        <v>1</v>
      </c>
      <c r="E1009" s="3">
        <v>6.12</v>
      </c>
      <c r="F1009" s="3"/>
      <c r="G1009" s="3"/>
      <c r="H1009" s="3"/>
      <c r="I1009" s="3">
        <v>6.63</v>
      </c>
      <c r="J1009">
        <v>-3</v>
      </c>
      <c r="K1009">
        <v>0</v>
      </c>
      <c r="L1009">
        <v>0</v>
      </c>
      <c r="M1009">
        <v>0</v>
      </c>
      <c r="N1009" s="3"/>
    </row>
    <row r="1010" spans="1:14" x14ac:dyDescent="0.2">
      <c r="A1010" t="s">
        <v>1097</v>
      </c>
      <c r="B1010">
        <v>2002</v>
      </c>
      <c r="C1010">
        <v>64</v>
      </c>
      <c r="D1010">
        <v>15</v>
      </c>
      <c r="E1010" s="3">
        <v>39.065989999999999</v>
      </c>
      <c r="F1010" s="3"/>
      <c r="G1010" s="3"/>
      <c r="H1010" s="3"/>
      <c r="I1010" s="3">
        <v>8.92</v>
      </c>
      <c r="J1010">
        <v>47</v>
      </c>
      <c r="K1010">
        <v>1</v>
      </c>
      <c r="L1010">
        <v>0</v>
      </c>
      <c r="M1010">
        <v>0</v>
      </c>
      <c r="N1010" s="3"/>
    </row>
    <row r="1011" spans="1:14" x14ac:dyDescent="0.2">
      <c r="A1011" t="s">
        <v>1105</v>
      </c>
      <c r="B1011">
        <v>2002</v>
      </c>
      <c r="C1011">
        <v>64</v>
      </c>
      <c r="D1011">
        <v>15</v>
      </c>
      <c r="E1011" s="3">
        <v>33.041150000000002</v>
      </c>
      <c r="F1011" s="3"/>
      <c r="G1011" s="3"/>
      <c r="H1011" s="3"/>
      <c r="I1011" s="3">
        <v>7.76</v>
      </c>
      <c r="J1011">
        <v>38</v>
      </c>
      <c r="K1011">
        <v>1</v>
      </c>
      <c r="L1011">
        <v>0</v>
      </c>
      <c r="M1011">
        <v>0</v>
      </c>
      <c r="N1011" s="3"/>
    </row>
    <row r="1012" spans="1:14" x14ac:dyDescent="0.2">
      <c r="A1012" t="s">
        <v>1089</v>
      </c>
      <c r="B1012">
        <v>2002</v>
      </c>
      <c r="C1012">
        <v>64</v>
      </c>
      <c r="D1012">
        <v>15</v>
      </c>
      <c r="E1012" s="3">
        <v>28.455953000000001</v>
      </c>
      <c r="F1012" s="3"/>
      <c r="G1012" s="3"/>
      <c r="H1012" s="3"/>
      <c r="I1012" s="3">
        <v>12.08</v>
      </c>
      <c r="J1012">
        <v>11</v>
      </c>
      <c r="K1012">
        <v>1</v>
      </c>
      <c r="L1012">
        <v>0</v>
      </c>
      <c r="M1012">
        <v>0</v>
      </c>
      <c r="N1012" s="3"/>
    </row>
    <row r="1013" spans="1:14" x14ac:dyDescent="0.2">
      <c r="A1013" t="s">
        <v>1081</v>
      </c>
      <c r="B1013">
        <v>2002</v>
      </c>
      <c r="C1013">
        <v>64</v>
      </c>
      <c r="D1013">
        <v>15</v>
      </c>
      <c r="E1013" s="3">
        <v>28.58925</v>
      </c>
      <c r="F1013" s="3"/>
      <c r="G1013" s="3"/>
      <c r="H1013" s="3"/>
      <c r="I1013" s="3">
        <v>6.27</v>
      </c>
      <c r="J1013">
        <v>15</v>
      </c>
      <c r="K1013">
        <v>1</v>
      </c>
      <c r="L1013">
        <v>0</v>
      </c>
      <c r="M1013">
        <v>0</v>
      </c>
      <c r="N1013" s="3"/>
    </row>
    <row r="1014" spans="1:14" x14ac:dyDescent="0.2">
      <c r="A1014" t="s">
        <v>1090</v>
      </c>
      <c r="B1014">
        <v>2002</v>
      </c>
      <c r="C1014">
        <v>64</v>
      </c>
      <c r="D1014">
        <v>13</v>
      </c>
      <c r="E1014" s="3">
        <v>28.309619999999999</v>
      </c>
      <c r="F1014" s="3"/>
      <c r="G1014" s="3"/>
      <c r="H1014" s="3"/>
      <c r="I1014" s="3">
        <v>-1.85</v>
      </c>
      <c r="J1014">
        <v>19</v>
      </c>
      <c r="K1014">
        <v>1</v>
      </c>
      <c r="L1014">
        <v>0</v>
      </c>
      <c r="M1014">
        <v>0</v>
      </c>
      <c r="N1014" s="3"/>
    </row>
    <row r="1015" spans="1:14" x14ac:dyDescent="0.2">
      <c r="A1015" t="s">
        <v>1098</v>
      </c>
      <c r="B1015">
        <v>2002</v>
      </c>
      <c r="C1015">
        <v>64</v>
      </c>
      <c r="D1015">
        <v>13</v>
      </c>
      <c r="E1015" s="3">
        <v>23.105419999999999</v>
      </c>
      <c r="F1015" s="3"/>
      <c r="G1015" s="3"/>
      <c r="H1015" s="3"/>
      <c r="I1015" s="3">
        <v>7.85</v>
      </c>
      <c r="J1015">
        <v>8</v>
      </c>
      <c r="K1015">
        <v>1</v>
      </c>
      <c r="L1015">
        <v>0</v>
      </c>
      <c r="M1015">
        <v>0</v>
      </c>
      <c r="N1015" s="3"/>
    </row>
    <row r="1016" spans="1:14" x14ac:dyDescent="0.2">
      <c r="A1016" t="s">
        <v>1106</v>
      </c>
      <c r="B1016">
        <v>2002</v>
      </c>
      <c r="C1016">
        <v>64</v>
      </c>
      <c r="D1016">
        <v>13</v>
      </c>
      <c r="E1016" s="3">
        <v>21.59019</v>
      </c>
      <c r="F1016" s="3"/>
      <c r="G1016" s="3"/>
      <c r="H1016" s="3"/>
      <c r="I1016" s="3">
        <v>2.69</v>
      </c>
      <c r="J1016">
        <v>8</v>
      </c>
      <c r="K1016">
        <v>1</v>
      </c>
      <c r="L1016">
        <v>0</v>
      </c>
      <c r="M1016">
        <v>0</v>
      </c>
      <c r="N1016" s="3"/>
    </row>
    <row r="1017" spans="1:14" x14ac:dyDescent="0.2">
      <c r="A1017" t="s">
        <v>1082</v>
      </c>
      <c r="B1017">
        <v>2002</v>
      </c>
      <c r="C1017">
        <v>64</v>
      </c>
      <c r="D1017">
        <v>13</v>
      </c>
      <c r="E1017" s="3">
        <v>14.62534</v>
      </c>
      <c r="F1017" s="3"/>
      <c r="G1017" s="3"/>
      <c r="H1017" s="3"/>
      <c r="I1017" s="3">
        <v>5.62</v>
      </c>
      <c r="J1017">
        <v>11</v>
      </c>
      <c r="K1017">
        <v>1</v>
      </c>
      <c r="L1017">
        <v>0</v>
      </c>
      <c r="M1017">
        <v>0</v>
      </c>
      <c r="N1017" s="3"/>
    </row>
    <row r="1018" spans="1:14" x14ac:dyDescent="0.2">
      <c r="A1018" t="s">
        <v>1107</v>
      </c>
      <c r="B1018">
        <v>2002</v>
      </c>
      <c r="C1018">
        <v>64</v>
      </c>
      <c r="D1018">
        <v>11</v>
      </c>
      <c r="E1018" s="3">
        <v>12.22669</v>
      </c>
      <c r="F1018" s="3"/>
      <c r="G1018" s="3"/>
      <c r="H1018" s="3"/>
      <c r="I1018" s="3">
        <v>15.82</v>
      </c>
      <c r="J1018">
        <v>5</v>
      </c>
      <c r="K1018">
        <v>1</v>
      </c>
      <c r="L1018">
        <v>0</v>
      </c>
      <c r="M1018">
        <v>0</v>
      </c>
      <c r="N1018" s="3"/>
    </row>
    <row r="1019" spans="1:14" x14ac:dyDescent="0.2">
      <c r="A1019" t="s">
        <v>1083</v>
      </c>
      <c r="B1019">
        <v>2002</v>
      </c>
      <c r="C1019">
        <v>64</v>
      </c>
      <c r="D1019">
        <v>11</v>
      </c>
      <c r="E1019" s="3">
        <v>17.758230000000001</v>
      </c>
      <c r="F1019" s="3"/>
      <c r="G1019" s="3"/>
      <c r="H1019" s="3"/>
      <c r="I1019" s="3">
        <v>0.77</v>
      </c>
      <c r="J1019">
        <v>17</v>
      </c>
      <c r="K1019">
        <v>1</v>
      </c>
      <c r="L1019">
        <v>0</v>
      </c>
      <c r="M1019">
        <v>0</v>
      </c>
      <c r="N1019" s="3"/>
    </row>
    <row r="1020" spans="1:14" x14ac:dyDescent="0.2">
      <c r="A1020" t="s">
        <v>1099</v>
      </c>
      <c r="B1020">
        <v>2002</v>
      </c>
      <c r="C1020">
        <v>64</v>
      </c>
      <c r="D1020">
        <v>11</v>
      </c>
      <c r="E1020" s="3">
        <v>18.299916</v>
      </c>
      <c r="F1020" s="3"/>
      <c r="G1020" s="3"/>
      <c r="H1020" s="3"/>
      <c r="I1020" s="3">
        <v>-3.86</v>
      </c>
      <c r="J1020">
        <v>17</v>
      </c>
      <c r="K1020">
        <v>1</v>
      </c>
      <c r="L1020">
        <v>0</v>
      </c>
      <c r="M1020">
        <v>0</v>
      </c>
      <c r="N1020" s="3"/>
    </row>
    <row r="1021" spans="1:14" x14ac:dyDescent="0.2">
      <c r="A1021" t="s">
        <v>1091</v>
      </c>
      <c r="B1021">
        <v>2002</v>
      </c>
      <c r="C1021">
        <v>64</v>
      </c>
      <c r="D1021">
        <v>11</v>
      </c>
      <c r="E1021" s="3">
        <v>13.23296</v>
      </c>
      <c r="F1021" s="3"/>
      <c r="G1021" s="3"/>
      <c r="H1021" s="3"/>
      <c r="I1021" s="3">
        <v>-7.6</v>
      </c>
      <c r="J1021">
        <v>12</v>
      </c>
      <c r="K1021">
        <v>1</v>
      </c>
      <c r="L1021">
        <v>0</v>
      </c>
      <c r="M1021">
        <v>0</v>
      </c>
      <c r="N1021" s="3"/>
    </row>
    <row r="1022" spans="1:14" x14ac:dyDescent="0.2">
      <c r="A1022" t="s">
        <v>1092</v>
      </c>
      <c r="B1022">
        <v>2002</v>
      </c>
      <c r="C1022">
        <v>64</v>
      </c>
      <c r="D1022">
        <v>9</v>
      </c>
      <c r="E1022" s="3">
        <v>11.5543</v>
      </c>
      <c r="F1022" s="3"/>
      <c r="G1022" s="3"/>
      <c r="H1022" s="3"/>
      <c r="I1022" s="3">
        <v>6.81</v>
      </c>
      <c r="J1022">
        <v>29</v>
      </c>
      <c r="K1022">
        <v>1</v>
      </c>
      <c r="L1022">
        <v>0</v>
      </c>
      <c r="M1022">
        <v>0</v>
      </c>
      <c r="N1022" s="3"/>
    </row>
    <row r="1023" spans="1:14" x14ac:dyDescent="0.2">
      <c r="A1023" t="s">
        <v>1108</v>
      </c>
      <c r="B1023">
        <v>2002</v>
      </c>
      <c r="C1023">
        <v>64</v>
      </c>
      <c r="D1023">
        <v>9</v>
      </c>
      <c r="E1023" s="3">
        <v>17.48244</v>
      </c>
      <c r="F1023" s="3"/>
      <c r="G1023" s="3"/>
      <c r="H1023" s="3"/>
      <c r="I1023" s="3">
        <v>-4</v>
      </c>
      <c r="J1023">
        <v>5</v>
      </c>
      <c r="K1023">
        <v>1</v>
      </c>
      <c r="L1023">
        <v>0</v>
      </c>
      <c r="M1023">
        <v>0</v>
      </c>
      <c r="N1023" s="3"/>
    </row>
    <row r="1024" spans="1:14" x14ac:dyDescent="0.2">
      <c r="A1024" t="s">
        <v>1084</v>
      </c>
      <c r="B1024">
        <v>2002</v>
      </c>
      <c r="C1024">
        <v>64</v>
      </c>
      <c r="D1024">
        <v>9</v>
      </c>
      <c r="E1024" s="3">
        <v>8.0470000000000006</v>
      </c>
      <c r="F1024" s="3"/>
      <c r="G1024" s="3"/>
      <c r="H1024" s="3"/>
      <c r="I1024" s="3">
        <v>8.3000000000000007</v>
      </c>
      <c r="J1024">
        <v>15</v>
      </c>
      <c r="K1024">
        <v>1</v>
      </c>
      <c r="L1024">
        <v>0</v>
      </c>
      <c r="M1024">
        <v>0</v>
      </c>
      <c r="N1024" s="3"/>
    </row>
    <row r="1025" spans="1:14" x14ac:dyDescent="0.2">
      <c r="A1025" t="s">
        <v>1100</v>
      </c>
      <c r="B1025">
        <v>2002</v>
      </c>
      <c r="C1025">
        <v>64</v>
      </c>
      <c r="D1025">
        <v>9</v>
      </c>
      <c r="E1025" s="3">
        <v>11.1059</v>
      </c>
      <c r="F1025" s="3"/>
      <c r="G1025" s="3"/>
      <c r="H1025" s="3"/>
      <c r="I1025" s="3">
        <v>-1.96</v>
      </c>
      <c r="J1025">
        <v>-4</v>
      </c>
      <c r="K1025">
        <v>0</v>
      </c>
      <c r="L1025">
        <v>0</v>
      </c>
      <c r="M1025">
        <v>0</v>
      </c>
      <c r="N1025" s="3"/>
    </row>
    <row r="1026" spans="1:14" x14ac:dyDescent="0.2">
      <c r="A1026" t="s">
        <v>1093</v>
      </c>
      <c r="B1026">
        <v>2002</v>
      </c>
      <c r="C1026">
        <v>64</v>
      </c>
      <c r="D1026">
        <v>7</v>
      </c>
      <c r="E1026" s="3">
        <v>14.372400000000001</v>
      </c>
      <c r="F1026" s="3"/>
      <c r="G1026" s="3"/>
      <c r="H1026" s="3"/>
      <c r="I1026" s="3">
        <v>-0.21</v>
      </c>
      <c r="J1026">
        <v>-1</v>
      </c>
      <c r="K1026">
        <v>0</v>
      </c>
      <c r="L1026">
        <v>0</v>
      </c>
      <c r="M1026">
        <v>0</v>
      </c>
      <c r="N1026" s="3"/>
    </row>
    <row r="1027" spans="1:14" x14ac:dyDescent="0.2">
      <c r="A1027" t="s">
        <v>1101</v>
      </c>
      <c r="B1027">
        <v>2002</v>
      </c>
      <c r="C1027">
        <v>64</v>
      </c>
      <c r="D1027">
        <v>7</v>
      </c>
      <c r="E1027" s="3">
        <v>7.6407999999999996</v>
      </c>
      <c r="F1027" s="3"/>
      <c r="G1027" s="3"/>
      <c r="H1027" s="3"/>
      <c r="I1027" s="3">
        <v>9.94</v>
      </c>
      <c r="J1027">
        <v>19</v>
      </c>
      <c r="K1027">
        <v>1</v>
      </c>
      <c r="L1027">
        <v>0</v>
      </c>
      <c r="M1027">
        <v>0</v>
      </c>
      <c r="N1027" s="3"/>
    </row>
    <row r="1028" spans="1:14" x14ac:dyDescent="0.2">
      <c r="A1028" t="s">
        <v>1085</v>
      </c>
      <c r="B1028">
        <v>2002</v>
      </c>
      <c r="C1028">
        <v>64</v>
      </c>
      <c r="D1028">
        <v>7</v>
      </c>
      <c r="E1028" s="3">
        <v>7.0369000000000002</v>
      </c>
      <c r="F1028" s="3"/>
      <c r="G1028" s="3"/>
      <c r="H1028" s="3"/>
      <c r="I1028" s="3">
        <v>1.56</v>
      </c>
      <c r="J1028">
        <v>-2</v>
      </c>
      <c r="K1028">
        <v>0</v>
      </c>
      <c r="L1028">
        <v>0</v>
      </c>
      <c r="M1028">
        <v>0</v>
      </c>
      <c r="N1028" s="3"/>
    </row>
    <row r="1029" spans="1:14" x14ac:dyDescent="0.2">
      <c r="A1029" t="s">
        <v>1109</v>
      </c>
      <c r="B1029">
        <v>2002</v>
      </c>
      <c r="C1029">
        <v>64</v>
      </c>
      <c r="D1029">
        <v>7</v>
      </c>
      <c r="E1029" s="3">
        <v>1.0539000000000001</v>
      </c>
      <c r="F1029" s="3"/>
      <c r="G1029" s="3"/>
      <c r="H1029" s="3"/>
      <c r="I1029" s="3">
        <v>-3.81</v>
      </c>
      <c r="J1029">
        <v>-13</v>
      </c>
      <c r="K1029">
        <v>0</v>
      </c>
      <c r="L1029">
        <v>0</v>
      </c>
      <c r="M1029">
        <v>0</v>
      </c>
      <c r="N1029" s="3"/>
    </row>
    <row r="1030" spans="1:14" x14ac:dyDescent="0.2">
      <c r="A1030" t="s">
        <v>1110</v>
      </c>
      <c r="B1030">
        <v>2002</v>
      </c>
      <c r="C1030">
        <v>64</v>
      </c>
      <c r="D1030">
        <v>5</v>
      </c>
      <c r="E1030" s="3">
        <v>8.9441000000000006</v>
      </c>
      <c r="F1030" s="3"/>
      <c r="G1030" s="3"/>
      <c r="H1030" s="3"/>
      <c r="I1030" s="3">
        <v>7.71</v>
      </c>
      <c r="J1030">
        <v>-7</v>
      </c>
      <c r="K1030">
        <v>0</v>
      </c>
      <c r="L1030">
        <v>0</v>
      </c>
      <c r="M1030">
        <v>0</v>
      </c>
      <c r="N1030" s="3"/>
    </row>
    <row r="1031" spans="1:14" x14ac:dyDescent="0.2">
      <c r="A1031" t="s">
        <v>1094</v>
      </c>
      <c r="B1031">
        <v>2002</v>
      </c>
      <c r="C1031">
        <v>64</v>
      </c>
      <c r="D1031">
        <v>5</v>
      </c>
      <c r="E1031" s="3">
        <v>6.2647000000000004</v>
      </c>
      <c r="F1031" s="3"/>
      <c r="G1031" s="3"/>
      <c r="H1031" s="3"/>
      <c r="I1031" s="3">
        <v>7.62</v>
      </c>
      <c r="J1031">
        <v>13</v>
      </c>
      <c r="K1031">
        <v>1</v>
      </c>
      <c r="L1031">
        <v>0</v>
      </c>
      <c r="M1031">
        <v>0</v>
      </c>
      <c r="N1031" s="3"/>
    </row>
    <row r="1032" spans="1:14" x14ac:dyDescent="0.2">
      <c r="A1032" t="s">
        <v>1086</v>
      </c>
      <c r="B1032">
        <v>2002</v>
      </c>
      <c r="C1032">
        <v>64</v>
      </c>
      <c r="D1032">
        <v>5</v>
      </c>
      <c r="E1032" s="3">
        <v>4.6210000000000004</v>
      </c>
      <c r="F1032" s="3"/>
      <c r="G1032" s="3"/>
      <c r="H1032" s="3"/>
      <c r="I1032" s="3">
        <v>0.44</v>
      </c>
      <c r="J1032">
        <v>-8</v>
      </c>
      <c r="K1032">
        <v>0</v>
      </c>
      <c r="L1032">
        <v>0</v>
      </c>
      <c r="M1032">
        <v>0</v>
      </c>
      <c r="N1032" s="3"/>
    </row>
    <row r="1033" spans="1:14" x14ac:dyDescent="0.2">
      <c r="A1033" t="s">
        <v>1102</v>
      </c>
      <c r="B1033">
        <v>2002</v>
      </c>
      <c r="C1033">
        <v>64</v>
      </c>
      <c r="D1033">
        <v>5</v>
      </c>
      <c r="E1033" s="3">
        <v>4.4337</v>
      </c>
      <c r="F1033" s="3"/>
      <c r="G1033" s="3"/>
      <c r="H1033" s="3"/>
      <c r="I1033" s="3">
        <v>-3.19</v>
      </c>
      <c r="J1033">
        <v>7</v>
      </c>
      <c r="K1033">
        <v>1</v>
      </c>
      <c r="L1033">
        <v>0</v>
      </c>
      <c r="M1033">
        <v>0</v>
      </c>
      <c r="N1033" s="3"/>
    </row>
    <row r="1034" spans="1:14" x14ac:dyDescent="0.2">
      <c r="A1034" t="s">
        <v>1111</v>
      </c>
      <c r="B1034">
        <v>2002</v>
      </c>
      <c r="C1034">
        <v>64</v>
      </c>
      <c r="D1034">
        <v>3</v>
      </c>
      <c r="E1034" s="3">
        <v>5.1398999999999999</v>
      </c>
      <c r="F1034" s="3"/>
      <c r="G1034" s="3"/>
      <c r="H1034" s="3"/>
      <c r="I1034" s="3">
        <v>10.25</v>
      </c>
      <c r="J1034">
        <v>12</v>
      </c>
      <c r="K1034">
        <v>1</v>
      </c>
      <c r="L1034">
        <v>0</v>
      </c>
      <c r="M1034">
        <v>0</v>
      </c>
      <c r="N1034" s="3"/>
    </row>
    <row r="1035" spans="1:14" x14ac:dyDescent="0.2">
      <c r="A1035" t="s">
        <v>1095</v>
      </c>
      <c r="B1035">
        <v>2002</v>
      </c>
      <c r="C1035">
        <v>64</v>
      </c>
      <c r="D1035">
        <v>3</v>
      </c>
      <c r="E1035" s="3">
        <v>3.9645999999999999</v>
      </c>
      <c r="F1035" s="3"/>
      <c r="G1035" s="3"/>
      <c r="H1035" s="3"/>
      <c r="I1035" s="3">
        <v>-2.82</v>
      </c>
      <c r="J1035">
        <v>9</v>
      </c>
      <c r="K1035">
        <v>1</v>
      </c>
      <c r="L1035">
        <v>0</v>
      </c>
      <c r="M1035">
        <v>0</v>
      </c>
      <c r="N1035" s="3"/>
    </row>
    <row r="1036" spans="1:14" x14ac:dyDescent="0.2">
      <c r="A1036" t="s">
        <v>1103</v>
      </c>
      <c r="B1036">
        <v>2002</v>
      </c>
      <c r="C1036">
        <v>64</v>
      </c>
      <c r="D1036">
        <v>3</v>
      </c>
      <c r="E1036" s="3">
        <v>-3.6429999999999998</v>
      </c>
      <c r="F1036" s="3"/>
      <c r="G1036" s="3"/>
      <c r="H1036" s="3"/>
      <c r="I1036" s="3">
        <v>0.77</v>
      </c>
      <c r="J1036">
        <v>-8</v>
      </c>
      <c r="K1036">
        <v>0</v>
      </c>
      <c r="L1036">
        <v>0</v>
      </c>
      <c r="M1036">
        <v>0</v>
      </c>
      <c r="N1036" s="3"/>
    </row>
    <row r="1037" spans="1:14" x14ac:dyDescent="0.2">
      <c r="A1037" t="s">
        <v>1087</v>
      </c>
      <c r="B1037">
        <v>2002</v>
      </c>
      <c r="C1037">
        <v>64</v>
      </c>
      <c r="D1037">
        <v>3</v>
      </c>
      <c r="E1037" s="3">
        <v>1.0556000000000001</v>
      </c>
      <c r="F1037" s="3"/>
      <c r="G1037" s="3"/>
      <c r="H1037" s="3"/>
      <c r="I1037" s="3">
        <v>-6.81</v>
      </c>
      <c r="J1037">
        <v>11</v>
      </c>
      <c r="K1037">
        <v>1</v>
      </c>
      <c r="L1037">
        <v>0</v>
      </c>
      <c r="M1037">
        <v>0</v>
      </c>
      <c r="N1037" s="3"/>
    </row>
    <row r="1038" spans="1:14" x14ac:dyDescent="0.2">
      <c r="A1038" t="s">
        <v>1096</v>
      </c>
      <c r="B1038">
        <v>2002</v>
      </c>
      <c r="C1038">
        <v>64</v>
      </c>
      <c r="D1038">
        <v>1</v>
      </c>
      <c r="E1038" s="3">
        <v>5.7355</v>
      </c>
      <c r="F1038" s="3"/>
      <c r="G1038" s="3"/>
      <c r="H1038" s="3"/>
      <c r="I1038" s="3">
        <v>4.12</v>
      </c>
      <c r="J1038">
        <v>16</v>
      </c>
      <c r="K1038">
        <v>1</v>
      </c>
      <c r="L1038">
        <v>0</v>
      </c>
      <c r="M1038">
        <v>0</v>
      </c>
      <c r="N1038" s="3"/>
    </row>
    <row r="1039" spans="1:14" x14ac:dyDescent="0.2">
      <c r="A1039" t="s">
        <v>1088</v>
      </c>
      <c r="B1039">
        <v>2002</v>
      </c>
      <c r="C1039">
        <v>64</v>
      </c>
      <c r="D1039">
        <v>1</v>
      </c>
      <c r="E1039" s="3">
        <v>4.0104300000000004</v>
      </c>
      <c r="F1039" s="3"/>
      <c r="G1039" s="3"/>
      <c r="H1039" s="3"/>
      <c r="I1039" s="3">
        <v>7.12</v>
      </c>
      <c r="J1039">
        <v>10</v>
      </c>
      <c r="K1039">
        <v>1</v>
      </c>
      <c r="L1039">
        <v>0</v>
      </c>
      <c r="M1039">
        <v>0</v>
      </c>
      <c r="N1039" s="3"/>
    </row>
    <row r="1040" spans="1:14" x14ac:dyDescent="0.2">
      <c r="A1040" t="s">
        <v>1112</v>
      </c>
      <c r="B1040">
        <v>2002</v>
      </c>
      <c r="C1040">
        <v>64</v>
      </c>
      <c r="D1040">
        <v>1</v>
      </c>
      <c r="E1040" s="3">
        <v>-3.0636999999999999</v>
      </c>
      <c r="F1040" s="3"/>
      <c r="G1040" s="3"/>
      <c r="H1040" s="3"/>
      <c r="I1040" s="3">
        <v>15.12</v>
      </c>
      <c r="J1040">
        <v>22</v>
      </c>
      <c r="K1040">
        <v>1</v>
      </c>
      <c r="L1040">
        <v>0</v>
      </c>
      <c r="M1040">
        <v>0</v>
      </c>
      <c r="N1040" s="3"/>
    </row>
    <row r="1041" spans="1:14" x14ac:dyDescent="0.2">
      <c r="A1041" t="s">
        <v>1104</v>
      </c>
      <c r="B1041">
        <v>2002</v>
      </c>
      <c r="C1041">
        <v>64</v>
      </c>
      <c r="D1041">
        <v>1</v>
      </c>
      <c r="E1041" s="3">
        <v>0.77359999999999995</v>
      </c>
      <c r="F1041" s="3"/>
      <c r="G1041" s="3"/>
      <c r="H1041" s="3"/>
      <c r="I1041" s="3">
        <v>-8.9499999999999993</v>
      </c>
      <c r="J1041">
        <v>19</v>
      </c>
      <c r="K1041">
        <v>1</v>
      </c>
      <c r="L1041">
        <v>0</v>
      </c>
      <c r="M1041">
        <v>0</v>
      </c>
      <c r="N1041" s="3"/>
    </row>
    <row r="1042" spans="1:14" x14ac:dyDescent="0.2">
      <c r="A1042" t="s">
        <v>1121</v>
      </c>
      <c r="B1042">
        <v>2002</v>
      </c>
      <c r="C1042">
        <v>32</v>
      </c>
      <c r="D1042">
        <v>8</v>
      </c>
      <c r="E1042" s="3">
        <v>12.56</v>
      </c>
      <c r="F1042" s="3"/>
      <c r="G1042" s="3"/>
      <c r="H1042" s="3"/>
      <c r="I1042" s="3">
        <v>9.66</v>
      </c>
      <c r="J1042">
        <v>9</v>
      </c>
      <c r="K1042">
        <v>1</v>
      </c>
      <c r="L1042">
        <v>0</v>
      </c>
      <c r="M1042">
        <v>0</v>
      </c>
      <c r="N1042" s="3"/>
    </row>
    <row r="1043" spans="1:14" x14ac:dyDescent="0.2">
      <c r="A1043" t="s">
        <v>1117</v>
      </c>
      <c r="B1043">
        <v>2002</v>
      </c>
      <c r="C1043">
        <v>32</v>
      </c>
      <c r="D1043">
        <v>8</v>
      </c>
      <c r="E1043" s="3">
        <v>10.86</v>
      </c>
      <c r="F1043" s="3"/>
      <c r="G1043" s="3"/>
      <c r="H1043" s="3"/>
      <c r="I1043" s="3">
        <v>5.86</v>
      </c>
      <c r="J1043">
        <v>12</v>
      </c>
      <c r="K1043">
        <v>1</v>
      </c>
      <c r="L1043">
        <v>0</v>
      </c>
      <c r="M1043">
        <v>0</v>
      </c>
      <c r="N1043" s="3"/>
    </row>
    <row r="1044" spans="1:14" x14ac:dyDescent="0.2">
      <c r="A1044" t="s">
        <v>1126</v>
      </c>
      <c r="B1044">
        <v>2002</v>
      </c>
      <c r="C1044">
        <v>32</v>
      </c>
      <c r="D1044">
        <v>8</v>
      </c>
      <c r="E1044" s="3">
        <v>10.5</v>
      </c>
      <c r="F1044" s="3"/>
      <c r="G1044" s="3"/>
      <c r="H1044" s="3"/>
      <c r="I1044" s="3">
        <v>23.07</v>
      </c>
      <c r="J1044">
        <v>8</v>
      </c>
      <c r="K1044">
        <v>1</v>
      </c>
      <c r="L1044">
        <v>0</v>
      </c>
      <c r="M1044">
        <v>0</v>
      </c>
      <c r="N1044" s="3"/>
    </row>
    <row r="1045" spans="1:14" x14ac:dyDescent="0.2">
      <c r="A1045" t="s">
        <v>1114</v>
      </c>
      <c r="B1045">
        <v>2002</v>
      </c>
      <c r="C1045">
        <v>32</v>
      </c>
      <c r="D1045">
        <v>8</v>
      </c>
      <c r="E1045" s="3">
        <v>6.97</v>
      </c>
      <c r="F1045" s="3"/>
      <c r="G1045" s="3"/>
      <c r="H1045" s="3"/>
      <c r="I1045" s="3">
        <v>11.38</v>
      </c>
      <c r="J1045">
        <v>5</v>
      </c>
      <c r="K1045">
        <v>1</v>
      </c>
      <c r="L1045">
        <v>0</v>
      </c>
      <c r="M1045">
        <v>0</v>
      </c>
      <c r="N1045" s="3"/>
    </row>
    <row r="1046" spans="1:14" x14ac:dyDescent="0.2">
      <c r="A1046" t="s">
        <v>1115</v>
      </c>
      <c r="B1046">
        <v>2002</v>
      </c>
      <c r="C1046">
        <v>32</v>
      </c>
      <c r="D1046">
        <v>8</v>
      </c>
      <c r="E1046" s="3">
        <v>5.4</v>
      </c>
      <c r="F1046" s="3"/>
      <c r="G1046" s="3"/>
      <c r="H1046" s="3"/>
      <c r="I1046" s="3">
        <v>2.33</v>
      </c>
      <c r="J1046">
        <v>-2</v>
      </c>
      <c r="K1046">
        <v>0</v>
      </c>
      <c r="L1046">
        <v>0</v>
      </c>
      <c r="M1046">
        <v>0</v>
      </c>
      <c r="N1046" s="3"/>
    </row>
    <row r="1047" spans="1:14" x14ac:dyDescent="0.2">
      <c r="A1047" t="s">
        <v>1125</v>
      </c>
      <c r="B1047">
        <v>2002</v>
      </c>
      <c r="C1047">
        <v>32</v>
      </c>
      <c r="D1047">
        <v>8</v>
      </c>
      <c r="E1047" s="3">
        <v>5.07</v>
      </c>
      <c r="F1047" s="3"/>
      <c r="G1047" s="3"/>
      <c r="H1047" s="3"/>
      <c r="I1047" s="3">
        <v>1.04</v>
      </c>
      <c r="J1047">
        <v>-16</v>
      </c>
      <c r="K1047">
        <v>0</v>
      </c>
      <c r="L1047">
        <v>0</v>
      </c>
      <c r="M1047">
        <v>0</v>
      </c>
      <c r="N1047" s="3"/>
    </row>
    <row r="1048" spans="1:14" x14ac:dyDescent="0.2">
      <c r="A1048" t="s">
        <v>1123</v>
      </c>
      <c r="B1048">
        <v>2002</v>
      </c>
      <c r="C1048">
        <v>32</v>
      </c>
      <c r="D1048">
        <v>8</v>
      </c>
      <c r="E1048" s="3">
        <v>-0.39</v>
      </c>
      <c r="F1048" s="3"/>
      <c r="G1048" s="3"/>
      <c r="H1048" s="3"/>
      <c r="I1048" s="3">
        <v>1.08</v>
      </c>
      <c r="J1048">
        <v>-13</v>
      </c>
      <c r="K1048">
        <v>0</v>
      </c>
      <c r="L1048">
        <v>0</v>
      </c>
      <c r="M1048">
        <v>0</v>
      </c>
      <c r="N1048" s="3"/>
    </row>
    <row r="1049" spans="1:14" x14ac:dyDescent="0.2">
      <c r="A1049" t="s">
        <v>1120</v>
      </c>
      <c r="B1049">
        <v>2002</v>
      </c>
      <c r="C1049">
        <v>32</v>
      </c>
      <c r="D1049">
        <v>7</v>
      </c>
      <c r="E1049" s="3">
        <v>15.75</v>
      </c>
      <c r="F1049" s="3"/>
      <c r="G1049" s="3"/>
      <c r="H1049" s="3"/>
      <c r="I1049" s="3">
        <v>9.2100000000000009</v>
      </c>
      <c r="J1049">
        <v>7</v>
      </c>
      <c r="K1049">
        <v>1</v>
      </c>
      <c r="L1049">
        <v>0</v>
      </c>
      <c r="M1049">
        <v>0</v>
      </c>
      <c r="N1049" s="3"/>
    </row>
    <row r="1050" spans="1:14" x14ac:dyDescent="0.2">
      <c r="A1050" t="s">
        <v>1124</v>
      </c>
      <c r="B1050">
        <v>2002</v>
      </c>
      <c r="C1050">
        <v>32</v>
      </c>
      <c r="D1050">
        <v>7</v>
      </c>
      <c r="E1050" s="3">
        <v>14.34</v>
      </c>
      <c r="F1050" s="3"/>
      <c r="G1050" s="3"/>
      <c r="H1050" s="3"/>
      <c r="I1050" s="3">
        <v>-5.05</v>
      </c>
      <c r="J1050">
        <v>-4</v>
      </c>
      <c r="K1050">
        <v>0</v>
      </c>
      <c r="L1050">
        <v>0</v>
      </c>
      <c r="M1050">
        <v>0</v>
      </c>
      <c r="N1050" s="3"/>
    </row>
    <row r="1051" spans="1:14" x14ac:dyDescent="0.2">
      <c r="A1051" t="s">
        <v>1113</v>
      </c>
      <c r="B1051">
        <v>2002</v>
      </c>
      <c r="C1051">
        <v>32</v>
      </c>
      <c r="D1051">
        <v>7</v>
      </c>
      <c r="E1051" s="3">
        <v>12.8</v>
      </c>
      <c r="F1051" s="3"/>
      <c r="G1051" s="3"/>
      <c r="H1051" s="3"/>
      <c r="I1051" s="3">
        <v>-2.89</v>
      </c>
      <c r="J1051">
        <v>30</v>
      </c>
      <c r="K1051">
        <v>1</v>
      </c>
      <c r="L1051">
        <v>0</v>
      </c>
      <c r="M1051">
        <v>0</v>
      </c>
      <c r="N1051" s="3"/>
    </row>
    <row r="1052" spans="1:14" x14ac:dyDescent="0.2">
      <c r="A1052" t="s">
        <v>1116</v>
      </c>
      <c r="B1052">
        <v>2002</v>
      </c>
      <c r="C1052">
        <v>32</v>
      </c>
      <c r="D1052">
        <v>7</v>
      </c>
      <c r="E1052" s="3">
        <v>5.68</v>
      </c>
      <c r="F1052" s="3"/>
      <c r="G1052" s="3"/>
      <c r="H1052" s="3"/>
      <c r="I1052" s="3">
        <v>5.2</v>
      </c>
      <c r="J1052">
        <v>23</v>
      </c>
      <c r="K1052">
        <v>1</v>
      </c>
      <c r="L1052">
        <v>0</v>
      </c>
      <c r="M1052">
        <v>0</v>
      </c>
      <c r="N1052" s="3"/>
    </row>
    <row r="1053" spans="1:14" x14ac:dyDescent="0.2">
      <c r="A1053" t="s">
        <v>1119</v>
      </c>
      <c r="B1053">
        <v>2002</v>
      </c>
      <c r="C1053">
        <v>32</v>
      </c>
      <c r="D1053">
        <v>5</v>
      </c>
      <c r="E1053" s="3">
        <v>7.18</v>
      </c>
      <c r="F1053" s="3"/>
      <c r="G1053" s="3"/>
      <c r="H1053" s="3"/>
      <c r="I1053" s="3">
        <v>-8.5</v>
      </c>
      <c r="J1053">
        <v>5</v>
      </c>
      <c r="K1053">
        <v>1</v>
      </c>
      <c r="L1053">
        <v>0</v>
      </c>
      <c r="M1053">
        <v>0</v>
      </c>
      <c r="N1053" s="3"/>
    </row>
    <row r="1054" spans="1:14" x14ac:dyDescent="0.2">
      <c r="A1054" t="s">
        <v>1127</v>
      </c>
      <c r="B1054">
        <v>2002</v>
      </c>
      <c r="C1054">
        <v>32</v>
      </c>
      <c r="D1054">
        <v>5</v>
      </c>
      <c r="E1054" s="3">
        <v>5.52</v>
      </c>
      <c r="F1054" s="3"/>
      <c r="G1054" s="3"/>
      <c r="H1054" s="3"/>
      <c r="I1054" s="3">
        <v>-2.89</v>
      </c>
      <c r="J1054">
        <v>13</v>
      </c>
      <c r="K1054">
        <v>1</v>
      </c>
      <c r="L1054">
        <v>0</v>
      </c>
      <c r="M1054">
        <v>0</v>
      </c>
      <c r="N1054" s="3"/>
    </row>
    <row r="1055" spans="1:14" x14ac:dyDescent="0.2">
      <c r="A1055" t="s">
        <v>1128</v>
      </c>
      <c r="B1055">
        <v>2002</v>
      </c>
      <c r="C1055">
        <v>32</v>
      </c>
      <c r="D1055">
        <v>5</v>
      </c>
      <c r="E1055" s="3">
        <v>-0.47</v>
      </c>
      <c r="F1055" s="3"/>
      <c r="G1055" s="3"/>
      <c r="H1055" s="3"/>
      <c r="I1055" s="3">
        <v>5.42</v>
      </c>
      <c r="J1055">
        <v>3</v>
      </c>
      <c r="K1055">
        <v>1</v>
      </c>
      <c r="L1055">
        <v>0</v>
      </c>
      <c r="M1055">
        <v>0</v>
      </c>
      <c r="N1055" s="3"/>
    </row>
    <row r="1056" spans="1:14" x14ac:dyDescent="0.2">
      <c r="A1056" t="s">
        <v>1122</v>
      </c>
      <c r="B1056">
        <v>2002</v>
      </c>
      <c r="C1056">
        <v>32</v>
      </c>
      <c r="D1056">
        <v>3</v>
      </c>
      <c r="E1056" s="3">
        <v>2.2400000000000002</v>
      </c>
      <c r="F1056" s="3"/>
      <c r="G1056" s="3"/>
      <c r="H1056" s="3"/>
      <c r="I1056" s="3">
        <v>-6.16</v>
      </c>
      <c r="J1056">
        <v>13</v>
      </c>
      <c r="K1056">
        <v>1</v>
      </c>
      <c r="L1056">
        <v>0</v>
      </c>
      <c r="M1056">
        <v>0</v>
      </c>
      <c r="N1056" s="3"/>
    </row>
    <row r="1057" spans="1:14" x14ac:dyDescent="0.2">
      <c r="A1057" t="s">
        <v>1118</v>
      </c>
      <c r="B1057">
        <v>2002</v>
      </c>
      <c r="C1057">
        <v>32</v>
      </c>
      <c r="D1057">
        <v>3</v>
      </c>
      <c r="E1057" s="3">
        <v>1.96</v>
      </c>
      <c r="F1057" s="3"/>
      <c r="G1057" s="3"/>
      <c r="H1057" s="3"/>
      <c r="I1057" s="3">
        <v>-7.63</v>
      </c>
      <c r="J1057">
        <v>-4</v>
      </c>
      <c r="K1057">
        <v>0</v>
      </c>
      <c r="L1057">
        <v>0</v>
      </c>
      <c r="M1057">
        <v>0</v>
      </c>
      <c r="N1057" s="3"/>
    </row>
    <row r="1058" spans="1:14" x14ac:dyDescent="0.2">
      <c r="A1058" t="s">
        <v>1130</v>
      </c>
      <c r="B1058">
        <v>2002</v>
      </c>
      <c r="C1058">
        <v>16</v>
      </c>
      <c r="D1058">
        <v>9</v>
      </c>
      <c r="E1058" s="3">
        <v>5.01</v>
      </c>
      <c r="F1058" s="3"/>
      <c r="G1058" s="3"/>
      <c r="H1058" s="3"/>
      <c r="I1058" s="3">
        <v>1.74</v>
      </c>
      <c r="J1058">
        <v>12</v>
      </c>
      <c r="K1058">
        <v>1</v>
      </c>
      <c r="L1058">
        <v>0</v>
      </c>
      <c r="M1058">
        <v>0</v>
      </c>
      <c r="N1058" s="3"/>
    </row>
    <row r="1059" spans="1:14" x14ac:dyDescent="0.2">
      <c r="A1059" t="s">
        <v>1134</v>
      </c>
      <c r="B1059">
        <v>2002</v>
      </c>
      <c r="C1059">
        <v>16</v>
      </c>
      <c r="D1059">
        <v>7</v>
      </c>
      <c r="E1059" s="3">
        <v>-0.59</v>
      </c>
      <c r="F1059" s="3"/>
      <c r="G1059" s="3"/>
      <c r="H1059" s="3"/>
      <c r="I1059" s="3">
        <v>-8.4600000000000009</v>
      </c>
      <c r="J1059">
        <v>-5</v>
      </c>
      <c r="K1059">
        <v>0</v>
      </c>
      <c r="L1059">
        <v>0</v>
      </c>
      <c r="M1059">
        <v>0</v>
      </c>
      <c r="N1059" s="3"/>
    </row>
    <row r="1060" spans="1:14" x14ac:dyDescent="0.2">
      <c r="A1060" t="s">
        <v>1133</v>
      </c>
      <c r="B1060">
        <v>2002</v>
      </c>
      <c r="C1060">
        <v>16</v>
      </c>
      <c r="D1060">
        <v>4</v>
      </c>
      <c r="E1060" s="3">
        <v>10.67</v>
      </c>
      <c r="F1060" s="3"/>
      <c r="G1060" s="3"/>
      <c r="H1060" s="3"/>
      <c r="I1060" s="3">
        <v>-5.99</v>
      </c>
      <c r="J1060">
        <v>-1</v>
      </c>
      <c r="K1060">
        <v>0</v>
      </c>
      <c r="L1060">
        <v>0</v>
      </c>
      <c r="M1060">
        <v>0</v>
      </c>
      <c r="N1060" s="3"/>
    </row>
    <row r="1061" spans="1:14" x14ac:dyDescent="0.2">
      <c r="A1061" t="s">
        <v>1132</v>
      </c>
      <c r="B1061">
        <v>2002</v>
      </c>
      <c r="C1061">
        <v>16</v>
      </c>
      <c r="D1061">
        <v>4</v>
      </c>
      <c r="E1061" s="3">
        <v>6.57</v>
      </c>
      <c r="F1061" s="3"/>
      <c r="G1061" s="3"/>
      <c r="H1061" s="3"/>
      <c r="I1061" s="3">
        <v>-8.4499999999999993</v>
      </c>
      <c r="J1061">
        <v>2</v>
      </c>
      <c r="K1061">
        <v>1</v>
      </c>
      <c r="L1061">
        <v>0</v>
      </c>
      <c r="M1061">
        <v>0</v>
      </c>
      <c r="N1061" s="3"/>
    </row>
    <row r="1062" spans="1:14" x14ac:dyDescent="0.2">
      <c r="A1062" t="s">
        <v>1135</v>
      </c>
      <c r="B1062">
        <v>2002</v>
      </c>
      <c r="C1062">
        <v>16</v>
      </c>
      <c r="D1062">
        <v>4</v>
      </c>
      <c r="E1062" s="3">
        <v>0.18</v>
      </c>
      <c r="F1062" s="3"/>
      <c r="G1062" s="3"/>
      <c r="H1062" s="3"/>
      <c r="I1062" s="3">
        <v>9.17</v>
      </c>
      <c r="J1062">
        <v>-9</v>
      </c>
      <c r="K1062">
        <v>0</v>
      </c>
      <c r="L1062">
        <v>0</v>
      </c>
      <c r="M1062">
        <v>0</v>
      </c>
      <c r="N1062" s="3"/>
    </row>
    <row r="1063" spans="1:14" x14ac:dyDescent="0.2">
      <c r="A1063" t="s">
        <v>1131</v>
      </c>
      <c r="B1063">
        <v>2002</v>
      </c>
      <c r="C1063">
        <v>16</v>
      </c>
      <c r="D1063">
        <v>3</v>
      </c>
      <c r="E1063" s="3">
        <v>5.79</v>
      </c>
      <c r="F1063" s="3"/>
      <c r="G1063" s="3"/>
      <c r="H1063" s="3"/>
      <c r="I1063" s="3">
        <v>0.66</v>
      </c>
      <c r="J1063">
        <v>4</v>
      </c>
      <c r="K1063">
        <v>1</v>
      </c>
      <c r="L1063">
        <v>0</v>
      </c>
      <c r="M1063">
        <v>0</v>
      </c>
      <c r="N1063" s="3"/>
    </row>
    <row r="1064" spans="1:14" x14ac:dyDescent="0.2">
      <c r="A1064" t="s">
        <v>1129</v>
      </c>
      <c r="B1064">
        <v>2002</v>
      </c>
      <c r="C1064">
        <v>16</v>
      </c>
      <c r="D1064">
        <v>3</v>
      </c>
      <c r="E1064" s="3">
        <v>5.37</v>
      </c>
      <c r="F1064" s="3"/>
      <c r="G1064" s="3"/>
      <c r="H1064" s="3"/>
      <c r="I1064" s="3">
        <v>-4.75</v>
      </c>
      <c r="J1064">
        <v>10</v>
      </c>
      <c r="K1064">
        <v>1</v>
      </c>
      <c r="L1064">
        <v>0</v>
      </c>
      <c r="M1064">
        <v>0</v>
      </c>
      <c r="N1064" s="3"/>
    </row>
    <row r="1065" spans="1:14" x14ac:dyDescent="0.2">
      <c r="A1065" t="s">
        <v>1136</v>
      </c>
      <c r="B1065">
        <v>2002</v>
      </c>
      <c r="C1065">
        <v>16</v>
      </c>
      <c r="D1065">
        <v>1</v>
      </c>
      <c r="E1065" s="3">
        <v>3.77</v>
      </c>
      <c r="F1065" s="3"/>
      <c r="G1065" s="3"/>
      <c r="H1065" s="3"/>
      <c r="I1065" s="3">
        <v>-16.13</v>
      </c>
      <c r="J1065">
        <v>21</v>
      </c>
      <c r="K1065">
        <v>1</v>
      </c>
      <c r="L1065">
        <v>0</v>
      </c>
      <c r="M1065">
        <v>0</v>
      </c>
      <c r="N1065" s="3"/>
    </row>
    <row r="1066" spans="1:14" x14ac:dyDescent="0.2">
      <c r="A1066" t="s">
        <v>1140</v>
      </c>
      <c r="B1066">
        <v>2002</v>
      </c>
      <c r="C1066">
        <v>8</v>
      </c>
      <c r="D1066">
        <v>10</v>
      </c>
      <c r="E1066" s="3">
        <v>9.11</v>
      </c>
      <c r="F1066" s="3"/>
      <c r="G1066" s="3"/>
      <c r="H1066" s="3"/>
      <c r="I1066" s="3">
        <v>1.26</v>
      </c>
      <c r="J1066">
        <v>6</v>
      </c>
      <c r="K1066">
        <v>1</v>
      </c>
      <c r="L1066">
        <v>0</v>
      </c>
      <c r="M1066">
        <v>0</v>
      </c>
      <c r="N1066" s="3"/>
    </row>
    <row r="1067" spans="1:14" x14ac:dyDescent="0.2">
      <c r="A1067" t="s">
        <v>1139</v>
      </c>
      <c r="B1067">
        <v>2002</v>
      </c>
      <c r="C1067">
        <v>8</v>
      </c>
      <c r="D1067">
        <v>5</v>
      </c>
      <c r="E1067" s="3">
        <v>3.19</v>
      </c>
      <c r="F1067" s="3"/>
      <c r="G1067" s="3"/>
      <c r="H1067" s="3"/>
      <c r="I1067" s="3">
        <v>12.1</v>
      </c>
      <c r="J1067">
        <v>12</v>
      </c>
      <c r="K1067">
        <v>1</v>
      </c>
      <c r="L1067">
        <v>0</v>
      </c>
      <c r="M1067">
        <v>0</v>
      </c>
      <c r="N1067" s="3"/>
    </row>
    <row r="1068" spans="1:14" x14ac:dyDescent="0.2">
      <c r="A1068" t="s">
        <v>1137</v>
      </c>
      <c r="B1068">
        <v>2002</v>
      </c>
      <c r="C1068">
        <v>8</v>
      </c>
      <c r="D1068">
        <v>1</v>
      </c>
      <c r="E1068" s="3">
        <v>8.66</v>
      </c>
      <c r="F1068" s="3"/>
      <c r="G1068" s="3"/>
      <c r="H1068" s="3"/>
      <c r="I1068" s="3">
        <v>1.4</v>
      </c>
      <c r="J1068">
        <v>8</v>
      </c>
      <c r="K1068">
        <v>1</v>
      </c>
      <c r="L1068">
        <v>0</v>
      </c>
      <c r="M1068">
        <v>0</v>
      </c>
      <c r="N1068" s="3"/>
    </row>
    <row r="1069" spans="1:14" x14ac:dyDescent="0.2">
      <c r="A1069" t="s">
        <v>1138</v>
      </c>
      <c r="B1069">
        <v>2002</v>
      </c>
      <c r="C1069">
        <v>8</v>
      </c>
      <c r="D1069">
        <v>1</v>
      </c>
      <c r="E1069" s="3">
        <v>5.36</v>
      </c>
      <c r="F1069" s="3"/>
      <c r="G1069" s="3"/>
      <c r="H1069" s="3"/>
      <c r="I1069" s="3">
        <v>10.09</v>
      </c>
      <c r="J1069">
        <v>18</v>
      </c>
      <c r="K1069">
        <v>1</v>
      </c>
      <c r="L1069">
        <v>0</v>
      </c>
      <c r="M1069">
        <v>0</v>
      </c>
      <c r="N1069" s="3"/>
    </row>
    <row r="1070" spans="1:14" x14ac:dyDescent="0.2">
      <c r="A1070" t="s">
        <v>1142</v>
      </c>
      <c r="B1070">
        <v>2002</v>
      </c>
      <c r="C1070">
        <v>4</v>
      </c>
      <c r="D1070">
        <v>3</v>
      </c>
      <c r="E1070" s="3">
        <v>1.95</v>
      </c>
      <c r="F1070" s="3"/>
      <c r="G1070" s="3"/>
      <c r="H1070" s="3"/>
      <c r="I1070" s="3">
        <v>-10.96</v>
      </c>
      <c r="J1070">
        <v>-9</v>
      </c>
      <c r="K1070">
        <v>0</v>
      </c>
      <c r="L1070">
        <v>0</v>
      </c>
      <c r="M1070">
        <v>0</v>
      </c>
      <c r="N1070" s="3"/>
    </row>
    <row r="1071" spans="1:14" x14ac:dyDescent="0.2">
      <c r="A1071" t="s">
        <v>1141</v>
      </c>
      <c r="B1071">
        <v>2002</v>
      </c>
      <c r="C1071">
        <v>4</v>
      </c>
      <c r="D1071">
        <v>0</v>
      </c>
      <c r="E1071" s="3">
        <v>-1.34</v>
      </c>
      <c r="F1071" s="3"/>
      <c r="G1071" s="3"/>
      <c r="H1071" s="3"/>
      <c r="I1071" s="3">
        <v>-3.79</v>
      </c>
      <c r="J1071">
        <v>9</v>
      </c>
      <c r="K1071">
        <v>1</v>
      </c>
      <c r="L1071">
        <v>0</v>
      </c>
      <c r="M1071">
        <v>0</v>
      </c>
      <c r="N1071" s="3"/>
    </row>
    <row r="1072" spans="1:14" x14ac:dyDescent="0.2">
      <c r="A1072" t="s">
        <v>1143</v>
      </c>
      <c r="B1072">
        <v>2002</v>
      </c>
      <c r="C1072">
        <v>2</v>
      </c>
      <c r="D1072">
        <v>4</v>
      </c>
      <c r="E1072" s="3">
        <v>3.41</v>
      </c>
      <c r="F1072" s="3"/>
      <c r="G1072" s="3"/>
      <c r="H1072" s="3"/>
      <c r="I1072" s="3">
        <v>-8.39</v>
      </c>
      <c r="J1072">
        <v>12</v>
      </c>
      <c r="K1072">
        <v>1</v>
      </c>
      <c r="L1072">
        <v>0</v>
      </c>
      <c r="M1072">
        <v>0</v>
      </c>
      <c r="N1072" s="3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1"/>
  <sheetViews>
    <sheetView workbookViewId="0">
      <selection activeCell="G58" sqref="G58"/>
    </sheetView>
  </sheetViews>
  <sheetFormatPr baseColWidth="10" defaultRowHeight="16" x14ac:dyDescent="0.2"/>
  <cols>
    <col min="1" max="1" width="13.1640625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1178</v>
      </c>
      <c r="E1" s="1" t="s">
        <v>1176</v>
      </c>
      <c r="F1" s="1" t="s">
        <v>65</v>
      </c>
      <c r="G1" s="1" t="s">
        <v>91</v>
      </c>
      <c r="H1" s="1" t="s">
        <v>92</v>
      </c>
    </row>
    <row r="2" spans="1:8" x14ac:dyDescent="0.2">
      <c r="A2" s="4" t="s">
        <v>6</v>
      </c>
      <c r="B2" s="4">
        <v>2004</v>
      </c>
      <c r="C2" s="4">
        <v>1</v>
      </c>
      <c r="D2" s="8">
        <v>31.84</v>
      </c>
      <c r="E2" s="8">
        <v>4.67</v>
      </c>
      <c r="F2" s="4">
        <v>4</v>
      </c>
      <c r="G2" s="4">
        <v>75</v>
      </c>
      <c r="H2" s="9">
        <v>19</v>
      </c>
    </row>
    <row r="3" spans="1:8" x14ac:dyDescent="0.2">
      <c r="A3" s="4" t="s">
        <v>465</v>
      </c>
      <c r="B3" s="4">
        <v>2004</v>
      </c>
      <c r="C3" s="4">
        <v>1</v>
      </c>
      <c r="D3" s="8">
        <v>27.21</v>
      </c>
      <c r="E3" s="8">
        <v>7.17</v>
      </c>
      <c r="F3" s="4">
        <v>3</v>
      </c>
      <c r="G3" s="4">
        <v>26</v>
      </c>
      <c r="H3" s="9">
        <v>9.3000000000000007</v>
      </c>
    </row>
    <row r="4" spans="1:8" x14ac:dyDescent="0.2">
      <c r="A4" s="4" t="s">
        <v>66</v>
      </c>
      <c r="B4" s="4">
        <v>2004</v>
      </c>
      <c r="C4" s="4">
        <v>1</v>
      </c>
      <c r="D4" s="8">
        <v>23.4</v>
      </c>
      <c r="E4" s="8">
        <v>5.07</v>
      </c>
      <c r="F4" s="4">
        <v>1</v>
      </c>
      <c r="G4" s="4">
        <v>19</v>
      </c>
      <c r="H4" s="9">
        <v>20</v>
      </c>
    </row>
    <row r="5" spans="1:8" x14ac:dyDescent="0.2">
      <c r="A5" s="4" t="s">
        <v>459</v>
      </c>
      <c r="B5" s="4">
        <v>2004</v>
      </c>
      <c r="C5" s="4">
        <v>1</v>
      </c>
      <c r="D5" s="8">
        <v>22.56</v>
      </c>
      <c r="E5" s="8">
        <v>0</v>
      </c>
      <c r="F5" s="4">
        <v>1</v>
      </c>
      <c r="G5" s="4">
        <v>23</v>
      </c>
      <c r="H5" s="9">
        <v>26</v>
      </c>
    </row>
    <row r="6" spans="1:8" x14ac:dyDescent="0.2">
      <c r="A6" s="4" t="s">
        <v>27</v>
      </c>
      <c r="B6" s="4">
        <v>2005</v>
      </c>
      <c r="C6" s="4">
        <v>1</v>
      </c>
      <c r="D6" s="8">
        <v>32.4</v>
      </c>
      <c r="E6" s="8">
        <v>2.5099999999999998</v>
      </c>
      <c r="F6" s="4">
        <v>5</v>
      </c>
      <c r="G6" s="4">
        <v>49</v>
      </c>
      <c r="H6" s="9">
        <v>10.8</v>
      </c>
    </row>
    <row r="7" spans="1:8" x14ac:dyDescent="0.2">
      <c r="A7" s="4" t="s">
        <v>29</v>
      </c>
      <c r="B7" s="4">
        <v>2005</v>
      </c>
      <c r="C7" s="4">
        <v>1</v>
      </c>
      <c r="D7" s="8">
        <v>31.45</v>
      </c>
      <c r="E7" s="8">
        <v>5.89</v>
      </c>
      <c r="F7" s="4">
        <v>6</v>
      </c>
      <c r="G7" s="4">
        <v>83</v>
      </c>
      <c r="H7" s="9">
        <v>13.8</v>
      </c>
    </row>
    <row r="8" spans="1:8" x14ac:dyDescent="0.2">
      <c r="A8" s="4" t="s">
        <v>6</v>
      </c>
      <c r="B8" s="4">
        <v>2005</v>
      </c>
      <c r="C8" s="4">
        <v>1</v>
      </c>
      <c r="D8" s="8">
        <v>28.08</v>
      </c>
      <c r="E8" s="8">
        <v>4.0199999999999996</v>
      </c>
      <c r="F8" s="4">
        <v>2</v>
      </c>
      <c r="G8" s="4">
        <v>9</v>
      </c>
      <c r="H8" s="9">
        <v>9.5</v>
      </c>
    </row>
    <row r="9" spans="1:8" x14ac:dyDescent="0.2">
      <c r="A9" s="4" t="s">
        <v>221</v>
      </c>
      <c r="B9" s="4">
        <v>2005</v>
      </c>
      <c r="C9" s="4">
        <v>1</v>
      </c>
      <c r="D9" s="8">
        <v>22.28</v>
      </c>
      <c r="E9" s="8">
        <v>7.81</v>
      </c>
      <c r="F9" s="4">
        <v>2</v>
      </c>
      <c r="G9" s="4">
        <v>15</v>
      </c>
      <c r="H9" s="9">
        <v>14.5</v>
      </c>
    </row>
    <row r="10" spans="1:8" x14ac:dyDescent="0.2">
      <c r="A10" s="4" t="s">
        <v>6</v>
      </c>
      <c r="B10" s="4">
        <v>2006</v>
      </c>
      <c r="C10" s="4">
        <v>1</v>
      </c>
      <c r="D10" s="8">
        <v>27.94</v>
      </c>
      <c r="E10" s="8">
        <v>8.1999999999999993</v>
      </c>
      <c r="F10" s="4">
        <v>2</v>
      </c>
      <c r="G10" s="4">
        <v>21</v>
      </c>
      <c r="H10" s="9">
        <v>14.5</v>
      </c>
    </row>
    <row r="11" spans="1:8" x14ac:dyDescent="0.2">
      <c r="A11" s="4" t="s">
        <v>90</v>
      </c>
      <c r="B11" s="4">
        <v>2006</v>
      </c>
      <c r="C11" s="4">
        <v>1</v>
      </c>
      <c r="D11" s="8">
        <v>25.25</v>
      </c>
      <c r="E11" s="8">
        <v>-1.45</v>
      </c>
      <c r="F11" s="4">
        <v>3</v>
      </c>
      <c r="G11" s="4">
        <v>21</v>
      </c>
      <c r="H11" s="9">
        <v>7.7</v>
      </c>
    </row>
    <row r="12" spans="1:8" x14ac:dyDescent="0.2">
      <c r="A12" s="4" t="s">
        <v>34</v>
      </c>
      <c r="B12" s="4">
        <v>2006</v>
      </c>
      <c r="C12" s="4">
        <v>1</v>
      </c>
      <c r="D12" s="8">
        <v>25.16</v>
      </c>
      <c r="E12" s="8">
        <v>3.94</v>
      </c>
      <c r="F12" s="4">
        <v>3</v>
      </c>
      <c r="G12" s="4">
        <v>5</v>
      </c>
      <c r="H12" s="9">
        <v>6</v>
      </c>
    </row>
    <row r="13" spans="1:8" x14ac:dyDescent="0.2">
      <c r="A13" s="4" t="s">
        <v>22</v>
      </c>
      <c r="B13" s="4">
        <v>2006</v>
      </c>
      <c r="C13" s="4">
        <v>1</v>
      </c>
      <c r="D13" s="8">
        <v>21.78</v>
      </c>
      <c r="E13" s="8">
        <v>9.3000000000000007</v>
      </c>
      <c r="F13" s="4">
        <v>3</v>
      </c>
      <c r="G13" s="4">
        <v>43</v>
      </c>
      <c r="H13" s="9">
        <v>16</v>
      </c>
    </row>
    <row r="14" spans="1:8" x14ac:dyDescent="0.2">
      <c r="A14" s="4" t="s">
        <v>29</v>
      </c>
      <c r="B14" s="4">
        <v>2007</v>
      </c>
      <c r="C14" s="4">
        <v>1</v>
      </c>
      <c r="D14" s="8">
        <v>31.15</v>
      </c>
      <c r="E14" s="8">
        <v>5.4</v>
      </c>
      <c r="F14" s="4">
        <v>3</v>
      </c>
      <c r="G14" s="4">
        <v>33</v>
      </c>
      <c r="H14" s="9">
        <v>15</v>
      </c>
    </row>
    <row r="15" spans="1:8" x14ac:dyDescent="0.2">
      <c r="A15" s="4" t="s">
        <v>9</v>
      </c>
      <c r="B15" s="4">
        <v>2007</v>
      </c>
      <c r="C15" s="4">
        <v>1</v>
      </c>
      <c r="D15" s="8">
        <v>28.25</v>
      </c>
      <c r="E15" s="8">
        <v>-3.15</v>
      </c>
      <c r="F15" s="4">
        <v>6</v>
      </c>
      <c r="G15" s="4">
        <v>85</v>
      </c>
      <c r="H15" s="9">
        <v>14.2</v>
      </c>
    </row>
    <row r="16" spans="1:8" x14ac:dyDescent="0.2">
      <c r="A16" s="4" t="s">
        <v>5</v>
      </c>
      <c r="B16" s="4">
        <v>2007</v>
      </c>
      <c r="C16" s="4">
        <v>1</v>
      </c>
      <c r="D16" s="8">
        <v>28.15</v>
      </c>
      <c r="E16" s="8">
        <v>3.04</v>
      </c>
      <c r="F16" s="4">
        <v>5</v>
      </c>
      <c r="G16" s="4">
        <v>43</v>
      </c>
      <c r="H16" s="9">
        <v>10.4</v>
      </c>
    </row>
    <row r="17" spans="1:8" x14ac:dyDescent="0.2">
      <c r="A17" s="4" t="s">
        <v>4</v>
      </c>
      <c r="B17" s="4">
        <v>2007</v>
      </c>
      <c r="C17" s="4">
        <v>1</v>
      </c>
      <c r="D17" s="8">
        <v>27.62</v>
      </c>
      <c r="E17" s="8">
        <v>2.2599999999999998</v>
      </c>
      <c r="F17" s="4">
        <v>3</v>
      </c>
      <c r="G17" s="4">
        <v>42</v>
      </c>
      <c r="H17" s="9">
        <v>18.3</v>
      </c>
    </row>
    <row r="18" spans="1:8" x14ac:dyDescent="0.2">
      <c r="A18" s="4" t="s">
        <v>4</v>
      </c>
      <c r="B18" s="4">
        <v>2008</v>
      </c>
      <c r="C18" s="4">
        <v>1</v>
      </c>
      <c r="D18" s="8">
        <v>33.21</v>
      </c>
      <c r="E18" s="8">
        <v>1.98</v>
      </c>
      <c r="F18" s="4">
        <v>6</v>
      </c>
      <c r="G18" s="4">
        <v>85</v>
      </c>
      <c r="H18" s="9">
        <v>14.2</v>
      </c>
    </row>
    <row r="19" spans="1:8" x14ac:dyDescent="0.2">
      <c r="A19" s="4" t="s">
        <v>24</v>
      </c>
      <c r="B19" s="4">
        <v>2008</v>
      </c>
      <c r="C19" s="4">
        <v>1</v>
      </c>
      <c r="D19" s="8">
        <v>29.94</v>
      </c>
      <c r="E19" s="8">
        <v>1.84</v>
      </c>
      <c r="F19" s="4">
        <v>4</v>
      </c>
      <c r="G19" s="4">
        <v>47</v>
      </c>
      <c r="H19" s="9">
        <v>15.5</v>
      </c>
    </row>
    <row r="20" spans="1:8" x14ac:dyDescent="0.2">
      <c r="A20" s="4" t="s">
        <v>22</v>
      </c>
      <c r="B20" s="4">
        <v>2008</v>
      </c>
      <c r="C20" s="4">
        <v>1</v>
      </c>
      <c r="D20" s="8">
        <v>28.73</v>
      </c>
      <c r="E20" s="8">
        <v>7.83</v>
      </c>
      <c r="F20" s="4">
        <v>5</v>
      </c>
      <c r="G20" s="4">
        <v>72</v>
      </c>
      <c r="H20" s="9">
        <v>15.8</v>
      </c>
    </row>
    <row r="21" spans="1:8" x14ac:dyDescent="0.2">
      <c r="A21" s="4" t="s">
        <v>29</v>
      </c>
      <c r="B21" s="4">
        <v>2008</v>
      </c>
      <c r="C21" s="4">
        <v>1</v>
      </c>
      <c r="D21" s="8">
        <v>27.54</v>
      </c>
      <c r="E21" s="8">
        <v>2.9</v>
      </c>
      <c r="F21" s="4">
        <v>4</v>
      </c>
      <c r="G21" s="4">
        <v>83</v>
      </c>
      <c r="H21" s="9">
        <v>25.3</v>
      </c>
    </row>
    <row r="22" spans="1:8" x14ac:dyDescent="0.2">
      <c r="A22" s="4" t="s">
        <v>28</v>
      </c>
      <c r="B22" s="4">
        <v>2009</v>
      </c>
      <c r="C22" s="4">
        <v>1</v>
      </c>
      <c r="D22" s="8">
        <v>28.77</v>
      </c>
      <c r="E22" s="8">
        <v>4.68</v>
      </c>
      <c r="F22" s="4">
        <v>3</v>
      </c>
      <c r="G22" s="4">
        <v>21</v>
      </c>
      <c r="H22" s="9">
        <v>7.7</v>
      </c>
    </row>
    <row r="23" spans="1:8" x14ac:dyDescent="0.2">
      <c r="A23" s="4" t="s">
        <v>29</v>
      </c>
      <c r="B23" s="4">
        <v>2009</v>
      </c>
      <c r="C23" s="4">
        <v>1</v>
      </c>
      <c r="D23" s="8">
        <v>27.96</v>
      </c>
      <c r="E23" s="8">
        <v>2.82</v>
      </c>
      <c r="F23" s="4">
        <v>6</v>
      </c>
      <c r="G23" s="4">
        <v>121</v>
      </c>
      <c r="H23" s="9">
        <v>20.2</v>
      </c>
    </row>
    <row r="24" spans="1:8" x14ac:dyDescent="0.2">
      <c r="A24" s="4" t="s">
        <v>90</v>
      </c>
      <c r="B24" s="4">
        <v>2009</v>
      </c>
      <c r="C24" s="4">
        <v>1</v>
      </c>
      <c r="D24" s="8">
        <v>27.38</v>
      </c>
      <c r="E24" s="8">
        <v>0.98</v>
      </c>
      <c r="F24" s="4">
        <v>4</v>
      </c>
      <c r="G24" s="4">
        <v>92</v>
      </c>
      <c r="H24" s="9">
        <v>25.3</v>
      </c>
    </row>
    <row r="25" spans="1:8" x14ac:dyDescent="0.2">
      <c r="A25" s="4" t="s">
        <v>1</v>
      </c>
      <c r="B25" s="4">
        <v>2009</v>
      </c>
      <c r="C25" s="4">
        <v>1</v>
      </c>
      <c r="D25" s="8">
        <v>24.86</v>
      </c>
      <c r="E25" s="8">
        <v>4.21</v>
      </c>
      <c r="F25" s="4">
        <v>3</v>
      </c>
      <c r="G25" s="4">
        <v>54</v>
      </c>
      <c r="H25" s="9">
        <v>22</v>
      </c>
    </row>
    <row r="26" spans="1:8" x14ac:dyDescent="0.2">
      <c r="A26" s="4" t="s">
        <v>4</v>
      </c>
      <c r="B26" s="4">
        <v>2010</v>
      </c>
      <c r="C26" s="4">
        <v>1</v>
      </c>
      <c r="D26" s="8">
        <v>31.89</v>
      </c>
      <c r="E26" s="8">
        <v>3.98</v>
      </c>
      <c r="F26" s="4">
        <v>1</v>
      </c>
      <c r="G26" s="4">
        <v>14</v>
      </c>
      <c r="H26" s="9">
        <v>16</v>
      </c>
    </row>
    <row r="27" spans="1:8" x14ac:dyDescent="0.2">
      <c r="A27" s="4" t="s">
        <v>6</v>
      </c>
      <c r="B27" s="4">
        <v>2010</v>
      </c>
      <c r="C27" s="4">
        <v>1</v>
      </c>
      <c r="D27" s="8">
        <v>30.81</v>
      </c>
      <c r="E27" s="8">
        <v>5.47</v>
      </c>
      <c r="F27" s="4">
        <v>6</v>
      </c>
      <c r="G27" s="4">
        <v>87</v>
      </c>
      <c r="H27" s="9">
        <v>14.5</v>
      </c>
    </row>
    <row r="28" spans="1:8" x14ac:dyDescent="0.2">
      <c r="A28" s="4" t="s">
        <v>14</v>
      </c>
      <c r="B28" s="4">
        <v>2010</v>
      </c>
      <c r="C28" s="4">
        <v>1</v>
      </c>
      <c r="D28" s="8">
        <v>26.95</v>
      </c>
      <c r="E28" s="8">
        <v>1.44</v>
      </c>
      <c r="F28" s="4">
        <v>2</v>
      </c>
      <c r="G28" s="4">
        <v>41</v>
      </c>
      <c r="H28" s="9">
        <v>22.5</v>
      </c>
    </row>
    <row r="29" spans="1:8" x14ac:dyDescent="0.2">
      <c r="A29" s="4" t="s">
        <v>66</v>
      </c>
      <c r="B29" s="4">
        <v>2010</v>
      </c>
      <c r="C29" s="4">
        <v>1</v>
      </c>
      <c r="D29" s="8">
        <v>24.34</v>
      </c>
      <c r="E29" s="8">
        <v>2.1</v>
      </c>
      <c r="F29" s="4">
        <v>3</v>
      </c>
      <c r="G29" s="4">
        <v>69</v>
      </c>
      <c r="H29" s="9">
        <v>25.3</v>
      </c>
    </row>
    <row r="30" spans="1:8" x14ac:dyDescent="0.2">
      <c r="A30" s="4" t="s">
        <v>5</v>
      </c>
      <c r="B30" s="4">
        <v>2011</v>
      </c>
      <c r="C30" s="4">
        <v>1</v>
      </c>
      <c r="D30" s="8">
        <v>31.58</v>
      </c>
      <c r="E30" s="8">
        <v>0.8</v>
      </c>
      <c r="F30" s="4">
        <v>2</v>
      </c>
      <c r="G30" s="4">
        <v>49</v>
      </c>
      <c r="H30" s="9">
        <v>25.5</v>
      </c>
    </row>
    <row r="31" spans="1:8" x14ac:dyDescent="0.2">
      <c r="A31" s="4" t="s">
        <v>6</v>
      </c>
      <c r="B31" s="4">
        <v>2011</v>
      </c>
      <c r="C31" s="4">
        <v>1</v>
      </c>
      <c r="D31" s="8">
        <v>28.3</v>
      </c>
      <c r="E31" s="8">
        <v>5.79</v>
      </c>
      <c r="F31" s="4">
        <v>2</v>
      </c>
      <c r="G31" s="4">
        <v>28</v>
      </c>
      <c r="H31" s="9">
        <v>22</v>
      </c>
    </row>
    <row r="32" spans="1:8" x14ac:dyDescent="0.2">
      <c r="A32" s="4" t="s">
        <v>4</v>
      </c>
      <c r="B32" s="4">
        <v>2011</v>
      </c>
      <c r="C32" s="4">
        <v>1</v>
      </c>
      <c r="D32" s="8">
        <v>28.27</v>
      </c>
      <c r="E32" s="8">
        <v>2.5099999999999998</v>
      </c>
      <c r="F32" s="4">
        <v>3</v>
      </c>
      <c r="G32" s="4">
        <v>43</v>
      </c>
      <c r="H32" s="9">
        <v>17.7</v>
      </c>
    </row>
    <row r="33" spans="1:8" x14ac:dyDescent="0.2">
      <c r="A33" s="4" t="s">
        <v>28</v>
      </c>
      <c r="B33" s="4">
        <v>2011</v>
      </c>
      <c r="C33" s="4">
        <v>1</v>
      </c>
      <c r="D33" s="8">
        <v>26.76</v>
      </c>
      <c r="E33" s="8">
        <v>1.42</v>
      </c>
      <c r="F33" s="4">
        <v>1</v>
      </c>
      <c r="G33" s="4">
        <v>22</v>
      </c>
      <c r="H33" s="9">
        <v>23</v>
      </c>
    </row>
    <row r="34" spans="1:8" x14ac:dyDescent="0.2">
      <c r="A34" s="4" t="s">
        <v>66</v>
      </c>
      <c r="B34" s="4">
        <v>2012</v>
      </c>
      <c r="C34" s="4">
        <v>1</v>
      </c>
      <c r="D34" s="8">
        <v>31.68</v>
      </c>
      <c r="E34" s="8">
        <v>2.81</v>
      </c>
      <c r="F34" s="4">
        <v>6</v>
      </c>
      <c r="G34" s="4">
        <v>71</v>
      </c>
      <c r="H34" s="9">
        <v>11.8</v>
      </c>
    </row>
    <row r="35" spans="1:8" x14ac:dyDescent="0.2">
      <c r="A35" s="4" t="s">
        <v>10</v>
      </c>
      <c r="B35" s="4">
        <v>2012</v>
      </c>
      <c r="C35" s="4">
        <v>1</v>
      </c>
      <c r="D35" s="8">
        <v>28.74</v>
      </c>
      <c r="E35" s="8">
        <v>2.48</v>
      </c>
      <c r="F35" s="4">
        <v>2</v>
      </c>
      <c r="G35" s="4">
        <v>13</v>
      </c>
      <c r="H35" s="9">
        <v>13</v>
      </c>
    </row>
    <row r="36" spans="1:8" x14ac:dyDescent="0.2">
      <c r="A36" s="4" t="s">
        <v>29</v>
      </c>
      <c r="B36" s="4">
        <v>2012</v>
      </c>
      <c r="C36" s="4">
        <v>1</v>
      </c>
      <c r="D36" s="8">
        <v>26.27</v>
      </c>
      <c r="E36" s="8">
        <v>4.5999999999999996</v>
      </c>
      <c r="F36" s="4">
        <v>3</v>
      </c>
      <c r="G36" s="4">
        <v>28</v>
      </c>
      <c r="H36" s="9">
        <v>13.7</v>
      </c>
    </row>
    <row r="37" spans="1:8" x14ac:dyDescent="0.2">
      <c r="A37" s="4" t="s">
        <v>14</v>
      </c>
      <c r="B37" s="4">
        <v>2012</v>
      </c>
      <c r="C37" s="4">
        <v>1</v>
      </c>
      <c r="D37" s="8">
        <v>25.51</v>
      </c>
      <c r="E37" s="8">
        <v>2.39</v>
      </c>
      <c r="F37" s="4">
        <v>3</v>
      </c>
      <c r="G37" s="4">
        <v>17</v>
      </c>
      <c r="H37" s="9">
        <v>8</v>
      </c>
    </row>
    <row r="38" spans="1:8" x14ac:dyDescent="0.2">
      <c r="A38" s="4" t="s">
        <v>1</v>
      </c>
      <c r="B38" s="4">
        <v>2013</v>
      </c>
      <c r="C38" s="4">
        <v>1</v>
      </c>
      <c r="D38" s="8">
        <v>31.15</v>
      </c>
      <c r="E38" s="8">
        <v>4.3</v>
      </c>
      <c r="F38" s="4">
        <v>6</v>
      </c>
      <c r="G38" s="4">
        <v>97</v>
      </c>
      <c r="H38" s="9">
        <v>16.2</v>
      </c>
    </row>
    <row r="39" spans="1:8" x14ac:dyDescent="0.2">
      <c r="A39" s="4" t="s">
        <v>2</v>
      </c>
      <c r="B39" s="4">
        <v>2013</v>
      </c>
      <c r="C39" s="4">
        <v>1</v>
      </c>
      <c r="D39" s="8">
        <v>29.88</v>
      </c>
      <c r="E39" s="8">
        <v>-0.55000000000000004</v>
      </c>
      <c r="F39" s="4">
        <v>2</v>
      </c>
      <c r="G39" s="4">
        <v>16</v>
      </c>
      <c r="H39" s="9">
        <v>13.5</v>
      </c>
    </row>
    <row r="40" spans="1:8" x14ac:dyDescent="0.2">
      <c r="A40" s="4" t="s">
        <v>3</v>
      </c>
      <c r="B40" s="4">
        <v>2013</v>
      </c>
      <c r="C40" s="4">
        <v>1</v>
      </c>
      <c r="D40" s="8">
        <v>28.91</v>
      </c>
      <c r="E40" s="8">
        <v>6.74</v>
      </c>
      <c r="F40" s="4">
        <v>1</v>
      </c>
      <c r="G40" s="4">
        <v>0</v>
      </c>
      <c r="H40" s="9">
        <v>6</v>
      </c>
    </row>
    <row r="41" spans="1:8" x14ac:dyDescent="0.2">
      <c r="A41" s="4" t="s">
        <v>4</v>
      </c>
      <c r="B41" s="4">
        <v>2013</v>
      </c>
      <c r="C41" s="4">
        <v>1</v>
      </c>
      <c r="D41" s="8">
        <v>25.34</v>
      </c>
      <c r="E41" s="8">
        <v>6.76</v>
      </c>
      <c r="F41" s="4">
        <v>2</v>
      </c>
      <c r="G41" s="4">
        <v>17</v>
      </c>
      <c r="H41" s="9">
        <v>9.5</v>
      </c>
    </row>
    <row r="42" spans="1:8" x14ac:dyDescent="0.2">
      <c r="A42" s="4" t="s">
        <v>21</v>
      </c>
      <c r="B42" s="4">
        <v>2014</v>
      </c>
      <c r="C42" s="4">
        <v>1</v>
      </c>
      <c r="D42" s="8">
        <v>30.46</v>
      </c>
      <c r="E42" s="8">
        <v>5.62</v>
      </c>
      <c r="F42" s="4">
        <v>3</v>
      </c>
      <c r="G42" s="4">
        <v>37</v>
      </c>
      <c r="H42" s="9">
        <v>12.7</v>
      </c>
    </row>
    <row r="43" spans="1:8" x14ac:dyDescent="0.2">
      <c r="A43" s="4" t="s">
        <v>9</v>
      </c>
      <c r="B43" s="4">
        <v>2014</v>
      </c>
      <c r="C43" s="4">
        <v>1</v>
      </c>
      <c r="D43" s="8">
        <v>27.97</v>
      </c>
      <c r="E43" s="8">
        <v>5.64</v>
      </c>
      <c r="F43" s="4">
        <v>4</v>
      </c>
      <c r="G43" s="4">
        <v>39</v>
      </c>
      <c r="H43" s="9">
        <v>12.3</v>
      </c>
    </row>
    <row r="44" spans="1:8" x14ac:dyDescent="0.2">
      <c r="A44" s="4" t="s">
        <v>75</v>
      </c>
      <c r="B44" s="4">
        <v>2014</v>
      </c>
      <c r="C44" s="4">
        <v>1</v>
      </c>
      <c r="D44" s="8">
        <v>25.93</v>
      </c>
      <c r="E44" s="8">
        <v>4.12</v>
      </c>
      <c r="F44" s="4">
        <v>2</v>
      </c>
      <c r="G44" s="4">
        <v>27</v>
      </c>
      <c r="H44" s="9">
        <v>14.5</v>
      </c>
    </row>
    <row r="45" spans="1:8" x14ac:dyDescent="0.2">
      <c r="A45" s="4" t="s">
        <v>32</v>
      </c>
      <c r="B45" s="4">
        <v>2014</v>
      </c>
      <c r="C45" s="4">
        <v>1</v>
      </c>
      <c r="D45" s="8">
        <v>25.19</v>
      </c>
      <c r="E45" s="8">
        <v>4.84</v>
      </c>
      <c r="F45" s="4">
        <v>1</v>
      </c>
      <c r="G45" s="4">
        <v>25</v>
      </c>
      <c r="H45" s="9">
        <v>27</v>
      </c>
    </row>
    <row r="46" spans="1:8" x14ac:dyDescent="0.2">
      <c r="A46" s="4" t="s">
        <v>66</v>
      </c>
      <c r="B46" s="4">
        <v>2015</v>
      </c>
      <c r="C46" s="4">
        <v>1</v>
      </c>
      <c r="D46" s="8">
        <v>37.26</v>
      </c>
      <c r="E46" s="8">
        <v>7.48</v>
      </c>
      <c r="F46" s="4">
        <v>4</v>
      </c>
      <c r="G46" s="4">
        <v>70</v>
      </c>
      <c r="H46" s="9">
        <v>19.3</v>
      </c>
    </row>
    <row r="47" spans="1:8" x14ac:dyDescent="0.2">
      <c r="A47" s="4" t="s">
        <v>17</v>
      </c>
      <c r="B47" s="4">
        <v>2015</v>
      </c>
      <c r="C47" s="4">
        <v>1</v>
      </c>
      <c r="D47" s="8">
        <v>33.32</v>
      </c>
      <c r="E47" s="8">
        <v>6.74</v>
      </c>
      <c r="F47" s="4">
        <v>5</v>
      </c>
      <c r="G47" s="4">
        <v>37</v>
      </c>
      <c r="H47" s="9">
        <v>8.4</v>
      </c>
    </row>
    <row r="48" spans="1:8" x14ac:dyDescent="0.2">
      <c r="A48" s="4" t="s">
        <v>34</v>
      </c>
      <c r="B48" s="4">
        <v>2015</v>
      </c>
      <c r="C48" s="4">
        <v>1</v>
      </c>
      <c r="D48" s="8">
        <v>30.94</v>
      </c>
      <c r="E48" s="8">
        <v>2.2799999999999998</v>
      </c>
      <c r="F48" s="4">
        <v>1</v>
      </c>
      <c r="G48" s="4">
        <v>38</v>
      </c>
      <c r="H48" s="9">
        <v>41</v>
      </c>
    </row>
    <row r="49" spans="1:8" x14ac:dyDescent="0.2">
      <c r="A49" s="4" t="s">
        <v>6</v>
      </c>
      <c r="B49" s="4">
        <v>2015</v>
      </c>
      <c r="C49" s="4">
        <v>1</v>
      </c>
      <c r="D49" s="8">
        <v>29.29</v>
      </c>
      <c r="E49" s="8">
        <v>3.87</v>
      </c>
      <c r="F49" s="4">
        <v>6</v>
      </c>
      <c r="G49" s="4">
        <v>93</v>
      </c>
      <c r="H49" s="9">
        <v>15.5</v>
      </c>
    </row>
    <row r="50" spans="1:8" x14ac:dyDescent="0.2">
      <c r="A50" s="4" t="s">
        <v>4</v>
      </c>
      <c r="B50" s="4">
        <v>2016</v>
      </c>
      <c r="C50" s="4">
        <v>1</v>
      </c>
      <c r="D50" s="8">
        <v>29.77</v>
      </c>
      <c r="E50" s="8">
        <v>6.52</v>
      </c>
      <c r="F50" s="4">
        <v>3</v>
      </c>
      <c r="G50" s="4">
        <v>49</v>
      </c>
      <c r="H50" s="9">
        <v>18</v>
      </c>
    </row>
    <row r="51" spans="1:8" x14ac:dyDescent="0.2">
      <c r="A51" s="4" t="s">
        <v>75</v>
      </c>
      <c r="B51" s="4">
        <v>2016</v>
      </c>
      <c r="C51" s="4">
        <v>1</v>
      </c>
      <c r="D51" s="8">
        <v>29.11</v>
      </c>
      <c r="E51" s="8">
        <v>6.83</v>
      </c>
      <c r="F51" s="4">
        <v>3</v>
      </c>
      <c r="G51" s="4">
        <v>51</v>
      </c>
      <c r="H51" s="9">
        <v>19</v>
      </c>
    </row>
    <row r="52" spans="1:8" x14ac:dyDescent="0.2">
      <c r="A52" s="4" t="s">
        <v>29</v>
      </c>
      <c r="B52" s="4">
        <v>2016</v>
      </c>
      <c r="C52" s="4">
        <v>1</v>
      </c>
      <c r="D52" s="8">
        <v>28.01</v>
      </c>
      <c r="E52" s="8">
        <v>5.1100000000000003</v>
      </c>
      <c r="F52" s="4">
        <v>5</v>
      </c>
      <c r="G52" s="4">
        <v>78</v>
      </c>
      <c r="H52" s="9">
        <v>16.2</v>
      </c>
    </row>
    <row r="53" spans="1:8" x14ac:dyDescent="0.2">
      <c r="A53" s="4" t="s">
        <v>44</v>
      </c>
      <c r="B53" s="4">
        <v>2016</v>
      </c>
      <c r="C53" s="4">
        <v>1</v>
      </c>
      <c r="D53" s="8">
        <v>22.75</v>
      </c>
      <c r="E53" s="8">
        <v>3.33</v>
      </c>
      <c r="F53" s="4">
        <v>3</v>
      </c>
      <c r="G53" s="4">
        <v>46</v>
      </c>
      <c r="H53" s="9">
        <v>19.3</v>
      </c>
    </row>
    <row r="54" spans="1:8" x14ac:dyDescent="0.2">
      <c r="A54" s="2" t="s">
        <v>3</v>
      </c>
      <c r="B54" s="2">
        <v>2017</v>
      </c>
      <c r="C54" s="2">
        <v>1</v>
      </c>
      <c r="D54" s="7">
        <v>33.049999999999997</v>
      </c>
      <c r="E54" s="2">
        <v>0.72</v>
      </c>
      <c r="F54" s="2">
        <v>5</v>
      </c>
      <c r="G54" s="2">
        <v>51</v>
      </c>
      <c r="H54" s="5">
        <f>57/5</f>
        <v>11.4</v>
      </c>
    </row>
    <row r="55" spans="1:8" x14ac:dyDescent="0.2">
      <c r="A55" s="2" t="s">
        <v>34</v>
      </c>
      <c r="B55" s="2">
        <v>2017</v>
      </c>
      <c r="C55" s="2">
        <v>1</v>
      </c>
      <c r="D55" s="7">
        <v>30.78</v>
      </c>
      <c r="E55" s="2">
        <v>4.25</v>
      </c>
      <c r="F55" s="2">
        <v>1</v>
      </c>
      <c r="G55" s="2">
        <v>17</v>
      </c>
      <c r="H55" s="5">
        <f>20/1</f>
        <v>20</v>
      </c>
    </row>
    <row r="56" spans="1:8" x14ac:dyDescent="0.2">
      <c r="A56" s="2" t="s">
        <v>29</v>
      </c>
      <c r="B56" s="2">
        <v>2017</v>
      </c>
      <c r="C56" s="2">
        <v>1</v>
      </c>
      <c r="D56" s="7">
        <v>28.01</v>
      </c>
      <c r="E56" s="2">
        <v>4.17</v>
      </c>
      <c r="F56" s="2">
        <v>6</v>
      </c>
      <c r="G56" s="2">
        <v>67</v>
      </c>
      <c r="H56" s="5">
        <f>67/6</f>
        <v>11.166666666666666</v>
      </c>
    </row>
    <row r="57" spans="1:8" x14ac:dyDescent="0.2">
      <c r="A57" s="2" t="s">
        <v>4</v>
      </c>
      <c r="B57" s="2">
        <v>2017</v>
      </c>
      <c r="C57" s="2">
        <v>1</v>
      </c>
      <c r="D57" s="7">
        <v>25.98</v>
      </c>
      <c r="E57" s="2">
        <v>2.75</v>
      </c>
      <c r="F57" s="2">
        <v>3</v>
      </c>
      <c r="G57" s="2">
        <v>76</v>
      </c>
      <c r="H57" s="5">
        <f>90/3</f>
        <v>30</v>
      </c>
    </row>
    <row r="58" spans="1:8" x14ac:dyDescent="0.2">
      <c r="A58" s="2" t="s">
        <v>75</v>
      </c>
      <c r="B58" s="2">
        <v>2018</v>
      </c>
      <c r="C58" s="2">
        <v>1</v>
      </c>
      <c r="D58" s="7">
        <v>32.15</v>
      </c>
      <c r="E58" s="7">
        <v>0.22</v>
      </c>
      <c r="F58" s="2">
        <v>0</v>
      </c>
      <c r="G58" s="2">
        <v>-20</v>
      </c>
      <c r="H58" s="5">
        <v>0</v>
      </c>
    </row>
    <row r="59" spans="1:8" x14ac:dyDescent="0.2">
      <c r="A59" s="2" t="s">
        <v>34</v>
      </c>
      <c r="B59" s="2">
        <v>2018</v>
      </c>
      <c r="C59" s="2">
        <v>1</v>
      </c>
      <c r="D59" s="7">
        <v>31.41</v>
      </c>
      <c r="E59" s="7">
        <v>4.1100000000000003</v>
      </c>
      <c r="F59" s="2"/>
      <c r="G59" s="2"/>
      <c r="H59" s="10"/>
    </row>
    <row r="60" spans="1:8" x14ac:dyDescent="0.2">
      <c r="A60" s="2" t="s">
        <v>4</v>
      </c>
      <c r="B60" s="2">
        <v>2018</v>
      </c>
      <c r="C60" s="2">
        <v>1</v>
      </c>
      <c r="D60" s="7">
        <v>23.24</v>
      </c>
      <c r="E60" s="7">
        <v>3.71</v>
      </c>
      <c r="F60" s="2"/>
      <c r="G60" s="2"/>
      <c r="H60" s="10"/>
    </row>
    <row r="61" spans="1:8" x14ac:dyDescent="0.2">
      <c r="A61" s="2" t="s">
        <v>76</v>
      </c>
      <c r="B61" s="2">
        <v>2018</v>
      </c>
      <c r="C61" s="2">
        <v>1</v>
      </c>
      <c r="D61" s="7">
        <v>21.69</v>
      </c>
      <c r="E61" s="7">
        <v>2.09</v>
      </c>
      <c r="F61" s="2"/>
      <c r="G61" s="2"/>
      <c r="H61" s="10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9"/>
  <sheetViews>
    <sheetView workbookViewId="0">
      <selection activeCell="G6" sqref="G6"/>
    </sheetView>
  </sheetViews>
  <sheetFormatPr baseColWidth="10" defaultRowHeight="16" x14ac:dyDescent="0.2"/>
  <cols>
    <col min="1" max="1" width="14.5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1178</v>
      </c>
      <c r="E1" s="1" t="s">
        <v>1176</v>
      </c>
      <c r="F1" s="1" t="s">
        <v>65</v>
      </c>
      <c r="G1" s="1" t="s">
        <v>91</v>
      </c>
      <c r="H1" s="1" t="s">
        <v>92</v>
      </c>
    </row>
    <row r="2" spans="1:8" x14ac:dyDescent="0.2">
      <c r="A2" s="2" t="s">
        <v>21</v>
      </c>
      <c r="B2" s="2">
        <v>2015</v>
      </c>
      <c r="C2" s="2">
        <v>2</v>
      </c>
      <c r="D2" s="7">
        <v>32.360700000000001</v>
      </c>
      <c r="E2" s="7">
        <v>2.4900000000000002</v>
      </c>
      <c r="F2" s="2">
        <v>3</v>
      </c>
      <c r="G2" s="2">
        <v>37</v>
      </c>
      <c r="H2" s="6">
        <f>44/3</f>
        <v>14.666666666666666</v>
      </c>
    </row>
    <row r="3" spans="1:8" x14ac:dyDescent="0.2">
      <c r="A3" s="2" t="s">
        <v>75</v>
      </c>
      <c r="B3" s="2">
        <v>2015</v>
      </c>
      <c r="C3" s="2">
        <v>2</v>
      </c>
      <c r="D3" s="7">
        <v>30.915700000000001</v>
      </c>
      <c r="E3" s="7">
        <v>2.7</v>
      </c>
      <c r="F3" s="2">
        <v>1</v>
      </c>
      <c r="G3" s="2">
        <v>6</v>
      </c>
      <c r="H3" s="5">
        <v>12</v>
      </c>
    </row>
    <row r="4" spans="1:8" x14ac:dyDescent="0.2">
      <c r="A4" s="2" t="s">
        <v>5</v>
      </c>
      <c r="B4">
        <v>2012</v>
      </c>
      <c r="C4">
        <v>2</v>
      </c>
      <c r="D4" s="3">
        <v>29.8413</v>
      </c>
      <c r="E4" s="3">
        <v>0.97</v>
      </c>
      <c r="F4">
        <v>4</v>
      </c>
      <c r="G4">
        <v>46</v>
      </c>
      <c r="H4" s="6">
        <f>(48/4)</f>
        <v>12</v>
      </c>
    </row>
    <row r="5" spans="1:8" x14ac:dyDescent="0.2">
      <c r="A5" s="2" t="s">
        <v>10</v>
      </c>
      <c r="B5" s="2">
        <v>2016</v>
      </c>
      <c r="C5" s="2">
        <v>2</v>
      </c>
      <c r="D5" s="7">
        <v>29.583400000000001</v>
      </c>
      <c r="E5" s="7">
        <v>2.4500000000000002</v>
      </c>
      <c r="F5" s="2">
        <v>0</v>
      </c>
      <c r="G5" s="2">
        <v>-9</v>
      </c>
      <c r="H5" s="5">
        <v>0</v>
      </c>
    </row>
    <row r="6" spans="1:8" x14ac:dyDescent="0.2">
      <c r="A6" s="2" t="s">
        <v>6</v>
      </c>
      <c r="B6" s="2">
        <v>2018</v>
      </c>
      <c r="C6" s="2">
        <v>2</v>
      </c>
      <c r="D6" s="7">
        <v>29.13</v>
      </c>
      <c r="E6" s="7">
        <v>4.6100000000000003</v>
      </c>
      <c r="F6" s="2"/>
      <c r="G6" s="2"/>
      <c r="H6" s="10"/>
    </row>
    <row r="7" spans="1:8" x14ac:dyDescent="0.2">
      <c r="A7" s="2" t="s">
        <v>3</v>
      </c>
      <c r="B7" s="2">
        <v>2015</v>
      </c>
      <c r="C7" s="2">
        <v>2</v>
      </c>
      <c r="D7" s="7">
        <v>28.8749</v>
      </c>
      <c r="E7" s="7">
        <v>5.79</v>
      </c>
      <c r="F7" s="2">
        <v>3</v>
      </c>
      <c r="G7" s="2">
        <v>27</v>
      </c>
      <c r="H7" s="6">
        <f>41/3</f>
        <v>13.666666666666666</v>
      </c>
    </row>
    <row r="8" spans="1:8" x14ac:dyDescent="0.2">
      <c r="A8" t="s">
        <v>22</v>
      </c>
      <c r="B8">
        <v>2009</v>
      </c>
      <c r="C8">
        <v>2</v>
      </c>
      <c r="D8" s="3">
        <v>28.648800000000001</v>
      </c>
      <c r="E8" s="3">
        <v>6.75</v>
      </c>
      <c r="F8">
        <v>2</v>
      </c>
      <c r="G8">
        <v>19</v>
      </c>
      <c r="H8" s="6">
        <f>(30/2)</f>
        <v>15</v>
      </c>
    </row>
    <row r="9" spans="1:8" x14ac:dyDescent="0.2">
      <c r="A9" t="s">
        <v>7</v>
      </c>
      <c r="B9">
        <v>2007</v>
      </c>
      <c r="C9">
        <v>2</v>
      </c>
      <c r="D9" s="3">
        <v>27.316299999999998</v>
      </c>
      <c r="E9" s="3">
        <v>1.8</v>
      </c>
      <c r="F9">
        <v>4</v>
      </c>
      <c r="G9">
        <v>38</v>
      </c>
      <c r="H9" s="6">
        <f>(45/4)</f>
        <v>11.25</v>
      </c>
    </row>
    <row r="10" spans="1:8" x14ac:dyDescent="0.2">
      <c r="A10" s="2" t="s">
        <v>66</v>
      </c>
      <c r="B10" s="2">
        <v>2017</v>
      </c>
      <c r="C10" s="2">
        <v>2</v>
      </c>
      <c r="D10" s="7">
        <v>27.27</v>
      </c>
      <c r="E10" s="2">
        <v>3.93</v>
      </c>
      <c r="F10" s="2">
        <v>3</v>
      </c>
      <c r="G10" s="2">
        <v>21</v>
      </c>
      <c r="H10" s="5">
        <f>23/3</f>
        <v>7.666666666666667</v>
      </c>
    </row>
    <row r="11" spans="1:8" x14ac:dyDescent="0.2">
      <c r="A11" t="s">
        <v>6</v>
      </c>
      <c r="B11">
        <v>2008</v>
      </c>
      <c r="C11">
        <v>2</v>
      </c>
      <c r="D11" s="3">
        <v>27.044599999999999</v>
      </c>
      <c r="E11" s="3">
        <v>5.87</v>
      </c>
      <c r="F11">
        <v>1</v>
      </c>
      <c r="G11">
        <v>-5</v>
      </c>
      <c r="H11" s="6">
        <v>1</v>
      </c>
    </row>
    <row r="12" spans="1:8" x14ac:dyDescent="0.2">
      <c r="A12" s="2" t="s">
        <v>37</v>
      </c>
      <c r="B12" s="2">
        <v>2018</v>
      </c>
      <c r="C12" s="2">
        <v>2</v>
      </c>
      <c r="D12" s="7">
        <v>27</v>
      </c>
      <c r="E12" s="7">
        <v>-4.1399999999999997</v>
      </c>
      <c r="F12" s="2"/>
      <c r="G12" s="2"/>
      <c r="H12" s="10"/>
    </row>
    <row r="13" spans="1:8" x14ac:dyDescent="0.2">
      <c r="A13" s="2" t="s">
        <v>4</v>
      </c>
      <c r="B13">
        <v>2012</v>
      </c>
      <c r="C13">
        <v>2</v>
      </c>
      <c r="D13" s="3">
        <v>26.865300000000001</v>
      </c>
      <c r="E13" s="3">
        <v>7.72</v>
      </c>
      <c r="F13">
        <v>5</v>
      </c>
      <c r="G13">
        <v>28</v>
      </c>
      <c r="H13" s="6">
        <f>(36/5)</f>
        <v>7.2</v>
      </c>
    </row>
    <row r="14" spans="1:8" x14ac:dyDescent="0.2">
      <c r="A14" s="2" t="s">
        <v>1</v>
      </c>
      <c r="B14" s="2">
        <v>2017</v>
      </c>
      <c r="C14" s="2">
        <v>2</v>
      </c>
      <c r="D14" s="7">
        <v>26.72</v>
      </c>
      <c r="E14" s="2">
        <v>4.63</v>
      </c>
      <c r="F14" s="2">
        <v>1</v>
      </c>
      <c r="G14" s="2">
        <v>11</v>
      </c>
      <c r="H14" s="5">
        <f>15/1</f>
        <v>15</v>
      </c>
    </row>
    <row r="15" spans="1:8" x14ac:dyDescent="0.2">
      <c r="A15" s="2" t="s">
        <v>34</v>
      </c>
      <c r="B15" s="2">
        <v>2016</v>
      </c>
      <c r="C15" s="2">
        <v>2</v>
      </c>
      <c r="D15" s="7">
        <v>26.704599999999999</v>
      </c>
      <c r="E15" s="7">
        <v>5.28</v>
      </c>
      <c r="F15" s="2">
        <v>6</v>
      </c>
      <c r="G15" s="2">
        <v>125</v>
      </c>
      <c r="H15" s="5">
        <f>125 / 6</f>
        <v>20.833333333333332</v>
      </c>
    </row>
    <row r="16" spans="1:8" x14ac:dyDescent="0.2">
      <c r="A16" s="2" t="s">
        <v>6</v>
      </c>
      <c r="B16" s="2">
        <v>2013</v>
      </c>
      <c r="C16" s="2">
        <v>2</v>
      </c>
      <c r="D16" s="7">
        <v>26.691700000000001</v>
      </c>
      <c r="E16" s="7">
        <v>9.73</v>
      </c>
      <c r="F16" s="2">
        <v>3</v>
      </c>
      <c r="G16" s="2">
        <v>16</v>
      </c>
      <c r="H16" s="5">
        <f>(38/3)</f>
        <v>12.666666666666666</v>
      </c>
    </row>
    <row r="17" spans="1:8" x14ac:dyDescent="0.2">
      <c r="A17" s="2" t="s">
        <v>74</v>
      </c>
      <c r="B17" s="2">
        <v>2018</v>
      </c>
      <c r="C17" s="2">
        <v>2</v>
      </c>
      <c r="D17" s="7">
        <v>26.67</v>
      </c>
      <c r="E17" s="7">
        <v>0.91</v>
      </c>
      <c r="F17" s="2"/>
      <c r="G17" s="2"/>
      <c r="H17" s="10"/>
    </row>
    <row r="18" spans="1:8" x14ac:dyDescent="0.2">
      <c r="A18" s="2" t="s">
        <v>33</v>
      </c>
      <c r="B18">
        <v>2012</v>
      </c>
      <c r="C18">
        <v>2</v>
      </c>
      <c r="D18" s="3">
        <v>26.665700000000001</v>
      </c>
      <c r="E18" s="3">
        <v>-2.72</v>
      </c>
      <c r="F18">
        <v>0</v>
      </c>
      <c r="G18">
        <v>-2</v>
      </c>
      <c r="H18" s="6">
        <v>0</v>
      </c>
    </row>
    <row r="19" spans="1:8" x14ac:dyDescent="0.2">
      <c r="A19" t="s">
        <v>4</v>
      </c>
      <c r="B19">
        <v>2003</v>
      </c>
      <c r="C19">
        <v>2</v>
      </c>
      <c r="D19" s="3">
        <v>26.609100000000002</v>
      </c>
      <c r="E19" s="3">
        <v>7.43</v>
      </c>
      <c r="F19">
        <v>5</v>
      </c>
      <c r="G19">
        <v>72</v>
      </c>
      <c r="H19" s="6">
        <f>(75/5)</f>
        <v>15</v>
      </c>
    </row>
    <row r="20" spans="1:8" x14ac:dyDescent="0.2">
      <c r="A20" t="s">
        <v>28</v>
      </c>
      <c r="B20">
        <v>2003</v>
      </c>
      <c r="C20">
        <v>2</v>
      </c>
      <c r="D20" s="3">
        <v>26.445799999999998</v>
      </c>
      <c r="E20" s="3">
        <v>-4.9400000000000004</v>
      </c>
      <c r="F20">
        <v>2</v>
      </c>
      <c r="G20">
        <v>35</v>
      </c>
      <c r="H20" s="6">
        <f>(38/2)</f>
        <v>19</v>
      </c>
    </row>
    <row r="21" spans="1:8" x14ac:dyDescent="0.2">
      <c r="A21" t="s">
        <v>3</v>
      </c>
      <c r="B21">
        <v>2004</v>
      </c>
      <c r="C21">
        <v>2</v>
      </c>
      <c r="D21" s="3">
        <v>26.083200000000001</v>
      </c>
      <c r="E21" s="3">
        <v>7.86</v>
      </c>
      <c r="F21">
        <v>1</v>
      </c>
      <c r="G21">
        <v>8</v>
      </c>
      <c r="H21" s="6">
        <v>27</v>
      </c>
    </row>
    <row r="22" spans="1:8" x14ac:dyDescent="0.2">
      <c r="A22" t="s">
        <v>78</v>
      </c>
      <c r="B22">
        <v>2006</v>
      </c>
      <c r="C22">
        <v>2</v>
      </c>
      <c r="D22" s="3">
        <v>25.779699999999998</v>
      </c>
      <c r="E22" s="3">
        <v>2.85</v>
      </c>
      <c r="F22">
        <v>3</v>
      </c>
      <c r="G22">
        <v>22</v>
      </c>
      <c r="H22" s="6">
        <f>(32/3)</f>
        <v>10.666666666666666</v>
      </c>
    </row>
    <row r="23" spans="1:8" x14ac:dyDescent="0.2">
      <c r="A23" t="s">
        <v>17</v>
      </c>
      <c r="B23">
        <v>2007</v>
      </c>
      <c r="C23">
        <v>2</v>
      </c>
      <c r="D23" s="3">
        <v>25.459499999999998</v>
      </c>
      <c r="E23" s="3">
        <v>2.2000000000000002</v>
      </c>
      <c r="F23">
        <v>1</v>
      </c>
      <c r="G23">
        <v>7</v>
      </c>
      <c r="H23" s="6">
        <v>13</v>
      </c>
    </row>
    <row r="24" spans="1:8" x14ac:dyDescent="0.2">
      <c r="A24" t="s">
        <v>19</v>
      </c>
      <c r="B24">
        <v>2005</v>
      </c>
      <c r="C24">
        <v>2</v>
      </c>
      <c r="D24" s="3">
        <v>25.370699999999999</v>
      </c>
      <c r="E24" s="3">
        <v>6.18</v>
      </c>
      <c r="F24">
        <v>2</v>
      </c>
      <c r="G24">
        <v>20</v>
      </c>
      <c r="H24" s="6">
        <f>(21/2)</f>
        <v>10.5</v>
      </c>
    </row>
    <row r="25" spans="1:8" x14ac:dyDescent="0.2">
      <c r="A25" s="2" t="s">
        <v>4</v>
      </c>
      <c r="B25" s="2">
        <v>2014</v>
      </c>
      <c r="C25" s="2">
        <v>2</v>
      </c>
      <c r="D25" s="7">
        <v>25.3505</v>
      </c>
      <c r="E25" s="7">
        <v>11.58</v>
      </c>
      <c r="F25" s="2">
        <v>1</v>
      </c>
      <c r="G25" s="2">
        <v>8</v>
      </c>
      <c r="H25" s="5">
        <v>11</v>
      </c>
    </row>
    <row r="26" spans="1:8" x14ac:dyDescent="0.2">
      <c r="A26" t="s">
        <v>305</v>
      </c>
      <c r="B26">
        <v>2005</v>
      </c>
      <c r="C26">
        <v>2</v>
      </c>
      <c r="D26" s="3">
        <v>25.3371</v>
      </c>
      <c r="E26" s="3">
        <v>6.33</v>
      </c>
      <c r="F26">
        <v>1</v>
      </c>
      <c r="G26">
        <v>10</v>
      </c>
      <c r="H26" s="6">
        <v>16</v>
      </c>
    </row>
    <row r="27" spans="1:8" x14ac:dyDescent="0.2">
      <c r="A27" t="s">
        <v>90</v>
      </c>
      <c r="B27">
        <v>2004</v>
      </c>
      <c r="C27">
        <v>2</v>
      </c>
      <c r="D27" s="3">
        <v>25.221</v>
      </c>
      <c r="E27" s="3">
        <v>1.63</v>
      </c>
      <c r="F27">
        <v>6</v>
      </c>
      <c r="G27">
        <v>80</v>
      </c>
      <c r="H27" s="6">
        <f>(80/6)</f>
        <v>13.333333333333334</v>
      </c>
    </row>
    <row r="28" spans="1:8" x14ac:dyDescent="0.2">
      <c r="A28" s="2" t="s">
        <v>34</v>
      </c>
      <c r="B28" s="2">
        <v>2014</v>
      </c>
      <c r="C28" s="2">
        <v>2</v>
      </c>
      <c r="D28" s="7">
        <v>25.1706</v>
      </c>
      <c r="E28" s="7">
        <v>4.5199999999999996</v>
      </c>
      <c r="F28" s="2">
        <v>1</v>
      </c>
      <c r="G28" s="2">
        <v>8</v>
      </c>
      <c r="H28" s="5">
        <v>20</v>
      </c>
    </row>
    <row r="29" spans="1:8" x14ac:dyDescent="0.2">
      <c r="A29" t="s">
        <v>143</v>
      </c>
      <c r="B29">
        <v>2011</v>
      </c>
      <c r="C29">
        <v>2</v>
      </c>
      <c r="D29" s="3">
        <v>25.1372</v>
      </c>
      <c r="E29" s="3">
        <v>4.37</v>
      </c>
      <c r="F29">
        <v>2</v>
      </c>
      <c r="G29">
        <v>18</v>
      </c>
      <c r="H29" s="6">
        <f>(25/2)</f>
        <v>12.5</v>
      </c>
    </row>
    <row r="30" spans="1:8" x14ac:dyDescent="0.2">
      <c r="A30" t="s">
        <v>77</v>
      </c>
      <c r="B30">
        <v>2010</v>
      </c>
      <c r="C30">
        <v>2</v>
      </c>
      <c r="D30" s="3">
        <v>25.132999999999999</v>
      </c>
      <c r="E30" s="3">
        <v>6.54</v>
      </c>
      <c r="F30">
        <v>4</v>
      </c>
      <c r="G30">
        <v>35</v>
      </c>
      <c r="H30" s="6">
        <f>(56/4)</f>
        <v>14</v>
      </c>
    </row>
    <row r="31" spans="1:8" x14ac:dyDescent="0.2">
      <c r="A31" s="2" t="s">
        <v>5</v>
      </c>
      <c r="B31" s="2">
        <v>2013</v>
      </c>
      <c r="C31" s="2">
        <v>2</v>
      </c>
      <c r="D31" s="7">
        <v>25.1281</v>
      </c>
      <c r="E31" s="7">
        <v>-0.92</v>
      </c>
      <c r="F31" s="2">
        <v>3</v>
      </c>
      <c r="G31" s="2">
        <v>27</v>
      </c>
      <c r="H31" s="5">
        <f>(31/3)</f>
        <v>10.333333333333334</v>
      </c>
    </row>
    <row r="32" spans="1:8" x14ac:dyDescent="0.2">
      <c r="A32" s="2" t="s">
        <v>6</v>
      </c>
      <c r="B32" s="2">
        <v>2017</v>
      </c>
      <c r="C32" s="2">
        <v>2</v>
      </c>
      <c r="D32" s="7">
        <v>25.09</v>
      </c>
      <c r="E32" s="2">
        <v>7.0000000000000007E-2</v>
      </c>
      <c r="F32" s="2">
        <v>1</v>
      </c>
      <c r="G32" s="2">
        <v>15</v>
      </c>
      <c r="H32" s="5">
        <f>22/1</f>
        <v>22</v>
      </c>
    </row>
    <row r="33" spans="1:8" x14ac:dyDescent="0.2">
      <c r="A33" s="2" t="s">
        <v>1253</v>
      </c>
      <c r="B33" s="2">
        <v>2018</v>
      </c>
      <c r="C33" s="2">
        <v>2</v>
      </c>
      <c r="D33" s="7">
        <v>25.03</v>
      </c>
      <c r="E33" s="7">
        <v>7.99</v>
      </c>
      <c r="F33" s="2"/>
      <c r="G33" s="2"/>
      <c r="H33" s="10"/>
    </row>
    <row r="34" spans="1:8" x14ac:dyDescent="0.2">
      <c r="A34" t="s">
        <v>5</v>
      </c>
      <c r="B34">
        <v>2010</v>
      </c>
      <c r="C34">
        <v>2</v>
      </c>
      <c r="D34" s="3">
        <v>24.926400000000001</v>
      </c>
      <c r="E34" s="3">
        <v>1.2</v>
      </c>
      <c r="F34">
        <v>2</v>
      </c>
      <c r="G34">
        <v>23</v>
      </c>
      <c r="H34" s="6">
        <f>(26/2)</f>
        <v>13</v>
      </c>
    </row>
    <row r="35" spans="1:8" x14ac:dyDescent="0.2">
      <c r="A35" s="2" t="s">
        <v>38</v>
      </c>
      <c r="B35" s="2">
        <v>2016</v>
      </c>
      <c r="C35" s="2">
        <v>2</v>
      </c>
      <c r="D35" s="7">
        <v>24.869900000000001</v>
      </c>
      <c r="E35" s="7">
        <v>3.64</v>
      </c>
      <c r="F35" s="2">
        <v>4</v>
      </c>
      <c r="G35" s="2">
        <v>0</v>
      </c>
      <c r="H35" s="5">
        <f>44 / 4</f>
        <v>11</v>
      </c>
    </row>
    <row r="36" spans="1:8" x14ac:dyDescent="0.2">
      <c r="A36" t="s">
        <v>6</v>
      </c>
      <c r="B36">
        <v>2009</v>
      </c>
      <c r="C36">
        <v>2</v>
      </c>
      <c r="D36" s="3">
        <v>24.790600000000001</v>
      </c>
      <c r="E36" s="3">
        <v>5.44</v>
      </c>
      <c r="F36">
        <v>2</v>
      </c>
      <c r="G36">
        <v>6</v>
      </c>
      <c r="H36" s="6">
        <f>(29/2)</f>
        <v>14.5</v>
      </c>
    </row>
    <row r="37" spans="1:8" x14ac:dyDescent="0.2">
      <c r="A37" t="s">
        <v>24</v>
      </c>
      <c r="B37">
        <v>2007</v>
      </c>
      <c r="C37">
        <v>2</v>
      </c>
      <c r="D37" s="3">
        <v>24.700600000000001</v>
      </c>
      <c r="E37" s="3">
        <v>9.25</v>
      </c>
      <c r="F37">
        <v>4</v>
      </c>
      <c r="G37">
        <v>45</v>
      </c>
      <c r="H37" s="6">
        <f>(55/4)</f>
        <v>13.75</v>
      </c>
    </row>
    <row r="38" spans="1:8" x14ac:dyDescent="0.2">
      <c r="A38" t="s">
        <v>66</v>
      </c>
      <c r="B38">
        <v>2005</v>
      </c>
      <c r="C38">
        <v>2</v>
      </c>
      <c r="D38" s="3">
        <v>24.5245</v>
      </c>
      <c r="E38" s="3">
        <v>1.23</v>
      </c>
      <c r="F38">
        <v>3</v>
      </c>
      <c r="G38">
        <v>21</v>
      </c>
      <c r="H38" s="6">
        <f>(27/3)</f>
        <v>9</v>
      </c>
    </row>
    <row r="39" spans="1:8" x14ac:dyDescent="0.2">
      <c r="A39" t="s">
        <v>44</v>
      </c>
      <c r="B39">
        <v>2002</v>
      </c>
      <c r="C39">
        <v>2</v>
      </c>
      <c r="D39" s="3">
        <v>24.456600000000002</v>
      </c>
      <c r="E39" s="3">
        <v>-1.18</v>
      </c>
      <c r="F39">
        <v>3</v>
      </c>
      <c r="G39">
        <v>8</v>
      </c>
      <c r="H39" s="6">
        <f>26 / 3</f>
        <v>8.6666666666666661</v>
      </c>
    </row>
    <row r="40" spans="1:8" x14ac:dyDescent="0.2">
      <c r="A40" t="s">
        <v>7</v>
      </c>
      <c r="B40">
        <v>2008</v>
      </c>
      <c r="C40">
        <v>2</v>
      </c>
      <c r="D40" s="3">
        <v>24.404199999999999</v>
      </c>
      <c r="E40" s="3">
        <v>0.05</v>
      </c>
      <c r="F40">
        <v>1</v>
      </c>
      <c r="G40">
        <v>15</v>
      </c>
      <c r="H40" s="6">
        <v>19</v>
      </c>
    </row>
    <row r="41" spans="1:8" x14ac:dyDescent="0.2">
      <c r="A41" t="s">
        <v>16</v>
      </c>
      <c r="B41">
        <v>2010</v>
      </c>
      <c r="C41">
        <v>2</v>
      </c>
      <c r="D41" s="3">
        <v>24.342099999999999</v>
      </c>
      <c r="E41" s="3">
        <v>4.7300000000000004</v>
      </c>
      <c r="F41">
        <v>3</v>
      </c>
      <c r="G41">
        <v>30</v>
      </c>
      <c r="H41" s="6">
        <f>(37/3)</f>
        <v>12.333333333333334</v>
      </c>
    </row>
    <row r="42" spans="1:8" x14ac:dyDescent="0.2">
      <c r="A42" t="s">
        <v>78</v>
      </c>
      <c r="B42">
        <v>2008</v>
      </c>
      <c r="C42">
        <v>2</v>
      </c>
      <c r="D42" s="3">
        <v>24.3005</v>
      </c>
      <c r="E42" s="3">
        <v>3.18</v>
      </c>
      <c r="F42">
        <v>3</v>
      </c>
      <c r="G42">
        <v>24</v>
      </c>
      <c r="H42" s="6">
        <f>(43/3)</f>
        <v>14.333333333333334</v>
      </c>
    </row>
    <row r="43" spans="1:8" x14ac:dyDescent="0.2">
      <c r="A43" t="s">
        <v>22</v>
      </c>
      <c r="B43">
        <v>2007</v>
      </c>
      <c r="C43">
        <v>2</v>
      </c>
      <c r="D43" s="3">
        <v>24.240400000000001</v>
      </c>
      <c r="E43" s="3">
        <v>5.51</v>
      </c>
      <c r="F43">
        <v>3</v>
      </c>
      <c r="G43">
        <v>16</v>
      </c>
      <c r="H43" s="6">
        <f>(32/3)</f>
        <v>10.666666666666666</v>
      </c>
    </row>
    <row r="44" spans="1:8" x14ac:dyDescent="0.2">
      <c r="A44" t="s">
        <v>26</v>
      </c>
      <c r="B44">
        <v>2011</v>
      </c>
      <c r="C44">
        <v>2</v>
      </c>
      <c r="D44" s="3">
        <v>24.036899999999999</v>
      </c>
      <c r="E44" s="3">
        <v>0.38</v>
      </c>
      <c r="F44">
        <v>1</v>
      </c>
      <c r="G44">
        <v>-1</v>
      </c>
      <c r="H44" s="6">
        <v>13</v>
      </c>
    </row>
    <row r="45" spans="1:8" x14ac:dyDescent="0.2">
      <c r="A45" s="2" t="s">
        <v>17</v>
      </c>
      <c r="B45" s="2">
        <v>2014</v>
      </c>
      <c r="C45" s="2">
        <v>2</v>
      </c>
      <c r="D45" s="7">
        <v>23.7836</v>
      </c>
      <c r="E45" s="7">
        <v>6.15</v>
      </c>
      <c r="F45" s="2">
        <v>4</v>
      </c>
      <c r="G45" s="2">
        <v>65</v>
      </c>
      <c r="H45" s="6">
        <f>66/4</f>
        <v>16.5</v>
      </c>
    </row>
    <row r="46" spans="1:8" x14ac:dyDescent="0.2">
      <c r="A46" t="s">
        <v>38</v>
      </c>
      <c r="B46">
        <v>2002</v>
      </c>
      <c r="C46">
        <v>2</v>
      </c>
      <c r="D46" s="3">
        <v>23.7456</v>
      </c>
      <c r="E46" s="3">
        <v>2.5499999999999998</v>
      </c>
      <c r="F46">
        <v>4</v>
      </c>
      <c r="G46">
        <v>39</v>
      </c>
      <c r="H46" s="6">
        <f>48 / 4</f>
        <v>12</v>
      </c>
    </row>
    <row r="47" spans="1:8" x14ac:dyDescent="0.2">
      <c r="A47" s="2" t="s">
        <v>4</v>
      </c>
      <c r="B47" s="2">
        <v>2015</v>
      </c>
      <c r="C47" s="2">
        <v>2</v>
      </c>
      <c r="D47" s="7">
        <v>23.715299999999999</v>
      </c>
      <c r="E47" s="7">
        <v>11.45</v>
      </c>
      <c r="F47" s="2">
        <v>1</v>
      </c>
      <c r="G47" s="2">
        <v>6</v>
      </c>
      <c r="H47" s="5">
        <v>19</v>
      </c>
    </row>
    <row r="48" spans="1:8" x14ac:dyDescent="0.2">
      <c r="A48" s="2" t="s">
        <v>13</v>
      </c>
      <c r="B48" s="2">
        <v>2014</v>
      </c>
      <c r="C48" s="2">
        <v>2</v>
      </c>
      <c r="D48" s="7">
        <v>23.645600000000002</v>
      </c>
      <c r="E48" s="7">
        <v>2.5499999999999998</v>
      </c>
      <c r="F48" s="2">
        <v>3</v>
      </c>
      <c r="G48" s="2">
        <v>30</v>
      </c>
      <c r="H48" s="6">
        <f>33/3</f>
        <v>11</v>
      </c>
    </row>
    <row r="49" spans="1:8" x14ac:dyDescent="0.2">
      <c r="A49" t="s">
        <v>19</v>
      </c>
      <c r="B49">
        <v>2004</v>
      </c>
      <c r="C49">
        <v>2</v>
      </c>
      <c r="D49" s="3">
        <v>23.422599999999999</v>
      </c>
      <c r="E49" s="3">
        <v>-1.95</v>
      </c>
      <c r="F49">
        <v>4</v>
      </c>
      <c r="G49">
        <v>48</v>
      </c>
      <c r="H49" s="6">
        <f>(50/4)</f>
        <v>12.5</v>
      </c>
    </row>
    <row r="50" spans="1:8" x14ac:dyDescent="0.2">
      <c r="A50" t="s">
        <v>9</v>
      </c>
      <c r="B50">
        <v>2003</v>
      </c>
      <c r="C50">
        <v>2</v>
      </c>
      <c r="D50" s="3">
        <v>23.191199999999998</v>
      </c>
      <c r="E50" s="3">
        <v>1.42</v>
      </c>
      <c r="F50">
        <v>1</v>
      </c>
      <c r="G50">
        <v>18</v>
      </c>
      <c r="H50" s="6">
        <v>30</v>
      </c>
    </row>
    <row r="51" spans="1:8" x14ac:dyDescent="0.2">
      <c r="A51" t="s">
        <v>38</v>
      </c>
      <c r="B51">
        <v>2009</v>
      </c>
      <c r="C51">
        <v>2</v>
      </c>
      <c r="D51" s="3">
        <v>22.8141</v>
      </c>
      <c r="E51" s="3">
        <v>2.58</v>
      </c>
      <c r="F51">
        <v>3</v>
      </c>
      <c r="G51">
        <v>39</v>
      </c>
      <c r="H51" s="6">
        <f>(51/3)</f>
        <v>17</v>
      </c>
    </row>
    <row r="52" spans="1:8" x14ac:dyDescent="0.2">
      <c r="A52" s="2" t="s">
        <v>21</v>
      </c>
      <c r="B52" s="2">
        <v>2017</v>
      </c>
      <c r="C52" s="2">
        <v>2</v>
      </c>
      <c r="D52" s="7">
        <v>22.74</v>
      </c>
      <c r="E52" s="2">
        <v>1.53</v>
      </c>
      <c r="F52" s="2">
        <v>2</v>
      </c>
      <c r="G52" s="2">
        <v>25</v>
      </c>
      <c r="H52" s="5">
        <f>27/2</f>
        <v>13.5</v>
      </c>
    </row>
    <row r="53" spans="1:8" x14ac:dyDescent="0.2">
      <c r="A53" t="s">
        <v>34</v>
      </c>
      <c r="B53">
        <v>2010</v>
      </c>
      <c r="C53">
        <v>2</v>
      </c>
      <c r="D53" s="3">
        <v>22.382899999999999</v>
      </c>
      <c r="E53" s="3">
        <v>1.04</v>
      </c>
      <c r="F53">
        <v>1</v>
      </c>
      <c r="G53">
        <v>-4</v>
      </c>
      <c r="H53" s="6">
        <v>3</v>
      </c>
    </row>
    <row r="54" spans="1:8" x14ac:dyDescent="0.2">
      <c r="A54" t="s">
        <v>5</v>
      </c>
      <c r="B54">
        <v>2006</v>
      </c>
      <c r="C54">
        <v>2</v>
      </c>
      <c r="D54" s="3">
        <v>22.290800000000001</v>
      </c>
      <c r="E54" s="3">
        <v>0.84</v>
      </c>
      <c r="F54">
        <v>1</v>
      </c>
      <c r="G54">
        <v>-10</v>
      </c>
      <c r="H54" s="6">
        <v>8</v>
      </c>
    </row>
    <row r="55" spans="1:8" x14ac:dyDescent="0.2">
      <c r="A55" s="2" t="s">
        <v>8</v>
      </c>
      <c r="B55" s="2">
        <v>2013</v>
      </c>
      <c r="C55" s="2">
        <v>2</v>
      </c>
      <c r="D55" s="7">
        <v>22.288799999999998</v>
      </c>
      <c r="E55" s="7">
        <v>5.49</v>
      </c>
      <c r="F55" s="2">
        <v>2</v>
      </c>
      <c r="G55" s="2">
        <v>23</v>
      </c>
      <c r="H55" s="5">
        <f>(33/2)</f>
        <v>16.5</v>
      </c>
    </row>
    <row r="56" spans="1:8" x14ac:dyDescent="0.2">
      <c r="A56" t="s">
        <v>10</v>
      </c>
      <c r="B56">
        <v>2009</v>
      </c>
      <c r="C56">
        <v>2</v>
      </c>
      <c r="D56" s="3">
        <v>22.198799999999999</v>
      </c>
      <c r="E56" s="3">
        <v>7.08</v>
      </c>
      <c r="F56">
        <v>5</v>
      </c>
      <c r="G56">
        <v>29</v>
      </c>
      <c r="H56" s="6">
        <f>(46/5)</f>
        <v>9.1999999999999993</v>
      </c>
    </row>
    <row r="57" spans="1:8" x14ac:dyDescent="0.2">
      <c r="A57" t="s">
        <v>90</v>
      </c>
      <c r="B57">
        <v>2005</v>
      </c>
      <c r="C57">
        <v>2</v>
      </c>
      <c r="D57" s="3">
        <v>22.1736</v>
      </c>
      <c r="E57" s="3">
        <v>2.38</v>
      </c>
      <c r="F57">
        <v>1</v>
      </c>
      <c r="G57">
        <v>3</v>
      </c>
      <c r="H57" s="6">
        <v>6</v>
      </c>
    </row>
    <row r="58" spans="1:8" x14ac:dyDescent="0.2">
      <c r="A58" s="2" t="s">
        <v>7</v>
      </c>
      <c r="B58" s="2">
        <v>2013</v>
      </c>
      <c r="C58" s="2">
        <v>2</v>
      </c>
      <c r="D58" s="7">
        <v>22.118200000000002</v>
      </c>
      <c r="E58" s="7">
        <v>-1.26</v>
      </c>
      <c r="F58" s="2">
        <v>0</v>
      </c>
      <c r="G58" s="2">
        <v>-10</v>
      </c>
      <c r="H58" s="5">
        <v>0</v>
      </c>
    </row>
    <row r="59" spans="1:8" x14ac:dyDescent="0.2">
      <c r="A59" t="s">
        <v>387</v>
      </c>
      <c r="B59">
        <v>2004</v>
      </c>
      <c r="C59">
        <v>2</v>
      </c>
      <c r="D59" s="3">
        <v>22.061599999999999</v>
      </c>
      <c r="E59" s="3">
        <v>-1.19</v>
      </c>
      <c r="F59">
        <v>1</v>
      </c>
      <c r="G59">
        <v>18</v>
      </c>
      <c r="H59" s="6">
        <v>33</v>
      </c>
    </row>
    <row r="60" spans="1:8" x14ac:dyDescent="0.2">
      <c r="A60" t="s">
        <v>225</v>
      </c>
      <c r="B60">
        <v>2008</v>
      </c>
      <c r="C60">
        <v>2</v>
      </c>
      <c r="D60" s="3">
        <v>21.868600000000001</v>
      </c>
      <c r="E60" s="3">
        <v>8.77</v>
      </c>
      <c r="F60">
        <v>2</v>
      </c>
      <c r="G60">
        <v>1</v>
      </c>
      <c r="H60" s="6">
        <f>(20/2)</f>
        <v>10</v>
      </c>
    </row>
    <row r="61" spans="1:8" x14ac:dyDescent="0.2">
      <c r="A61" t="s">
        <v>24</v>
      </c>
      <c r="B61">
        <v>2006</v>
      </c>
      <c r="C61">
        <v>2</v>
      </c>
      <c r="D61" s="3">
        <v>21.713799999999999</v>
      </c>
      <c r="E61" s="3">
        <v>5.61</v>
      </c>
      <c r="F61">
        <v>5</v>
      </c>
      <c r="G61">
        <v>42</v>
      </c>
      <c r="H61" s="6">
        <f>(58/5)</f>
        <v>11.6</v>
      </c>
    </row>
    <row r="62" spans="1:8" x14ac:dyDescent="0.2">
      <c r="A62" s="2" t="s">
        <v>76</v>
      </c>
      <c r="B62" s="2">
        <v>2016</v>
      </c>
      <c r="C62" s="2">
        <v>2</v>
      </c>
      <c r="D62" s="7">
        <v>21.700500000000002</v>
      </c>
      <c r="E62" s="7">
        <v>3.91</v>
      </c>
      <c r="F62" s="2">
        <v>1</v>
      </c>
      <c r="G62" s="2">
        <v>15</v>
      </c>
      <c r="H62" s="5">
        <v>18</v>
      </c>
    </row>
    <row r="63" spans="1:8" x14ac:dyDescent="0.2">
      <c r="A63" t="s">
        <v>29</v>
      </c>
      <c r="B63">
        <v>2011</v>
      </c>
      <c r="C63">
        <v>2</v>
      </c>
      <c r="D63" s="3">
        <v>21.572700000000001</v>
      </c>
      <c r="E63" s="3">
        <v>7.52</v>
      </c>
      <c r="F63">
        <v>3</v>
      </c>
      <c r="G63">
        <v>29</v>
      </c>
      <c r="H63" s="6">
        <f>(36/3)</f>
        <v>12</v>
      </c>
    </row>
    <row r="64" spans="1:8" x14ac:dyDescent="0.2">
      <c r="A64" s="2" t="s">
        <v>6</v>
      </c>
      <c r="B64">
        <v>2012</v>
      </c>
      <c r="C64">
        <v>2</v>
      </c>
      <c r="D64" s="3">
        <v>20.8306</v>
      </c>
      <c r="E64" s="3">
        <v>10.130000000000001</v>
      </c>
      <c r="F64">
        <v>0</v>
      </c>
      <c r="G64">
        <v>-5</v>
      </c>
      <c r="H64" s="6">
        <v>0</v>
      </c>
    </row>
    <row r="65" spans="1:8" x14ac:dyDescent="0.2">
      <c r="A65" t="s">
        <v>305</v>
      </c>
      <c r="B65">
        <v>2003</v>
      </c>
      <c r="C65">
        <v>2</v>
      </c>
      <c r="D65" s="3">
        <v>20.408200000000001</v>
      </c>
      <c r="E65" s="3">
        <v>-0.36</v>
      </c>
      <c r="F65">
        <v>1</v>
      </c>
      <c r="G65">
        <v>-3</v>
      </c>
      <c r="H65" s="6">
        <v>3</v>
      </c>
    </row>
    <row r="66" spans="1:8" x14ac:dyDescent="0.2">
      <c r="A66" t="s">
        <v>9</v>
      </c>
      <c r="B66">
        <v>2011</v>
      </c>
      <c r="C66">
        <v>2</v>
      </c>
      <c r="D66" s="3">
        <v>19.7287</v>
      </c>
      <c r="E66" s="3">
        <v>3.95</v>
      </c>
      <c r="F66">
        <v>3</v>
      </c>
      <c r="G66">
        <v>42</v>
      </c>
      <c r="H66" s="6">
        <f>(45/3)</f>
        <v>15</v>
      </c>
    </row>
    <row r="67" spans="1:8" x14ac:dyDescent="0.2">
      <c r="A67" t="s">
        <v>72</v>
      </c>
      <c r="B67">
        <v>2002</v>
      </c>
      <c r="C67">
        <v>2</v>
      </c>
      <c r="D67" s="3">
        <v>19.1539</v>
      </c>
      <c r="E67" s="3">
        <v>2.4900000000000002</v>
      </c>
      <c r="F67">
        <v>1</v>
      </c>
      <c r="G67">
        <v>-5</v>
      </c>
      <c r="H67" s="6">
        <v>8</v>
      </c>
    </row>
    <row r="68" spans="1:8" x14ac:dyDescent="0.2">
      <c r="A68" t="s">
        <v>225</v>
      </c>
      <c r="B68">
        <v>2006</v>
      </c>
      <c r="C68">
        <v>2</v>
      </c>
      <c r="D68" s="3">
        <v>18.7164</v>
      </c>
      <c r="E68" s="3">
        <v>2.67</v>
      </c>
      <c r="F68">
        <v>1</v>
      </c>
      <c r="G68">
        <v>-5</v>
      </c>
      <c r="H68" s="6">
        <v>2</v>
      </c>
    </row>
    <row r="69" spans="1:8" x14ac:dyDescent="0.2">
      <c r="A69" t="s">
        <v>90</v>
      </c>
      <c r="B69">
        <v>2002</v>
      </c>
      <c r="C69">
        <v>2</v>
      </c>
      <c r="D69" s="3">
        <v>17.788</v>
      </c>
      <c r="E69" s="3">
        <v>3.72</v>
      </c>
      <c r="F69">
        <v>3</v>
      </c>
      <c r="G69">
        <v>18</v>
      </c>
      <c r="H69" s="6">
        <f>26 / 3</f>
        <v>8.6666666666666661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9"/>
  <sheetViews>
    <sheetView workbookViewId="0">
      <selection activeCell="F5" sqref="F5"/>
    </sheetView>
  </sheetViews>
  <sheetFormatPr baseColWidth="10" defaultRowHeight="16" x14ac:dyDescent="0.2"/>
  <cols>
    <col min="1" max="1" width="22.5" bestFit="1" customWidth="1"/>
    <col min="2" max="3" width="5.1640625" bestFit="1" customWidth="1"/>
    <col min="4" max="4" width="6.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9" x14ac:dyDescent="0.2">
      <c r="A1" s="1" t="s">
        <v>63</v>
      </c>
      <c r="B1" s="1" t="s">
        <v>67</v>
      </c>
      <c r="C1" s="1" t="s">
        <v>64</v>
      </c>
      <c r="D1" s="1" t="s">
        <v>1178</v>
      </c>
      <c r="E1" s="1" t="s">
        <v>1176</v>
      </c>
      <c r="F1" s="1" t="s">
        <v>65</v>
      </c>
      <c r="G1" s="1" t="s">
        <v>91</v>
      </c>
      <c r="H1" s="1" t="s">
        <v>92</v>
      </c>
      <c r="I1" s="1"/>
    </row>
    <row r="2" spans="1:9" x14ac:dyDescent="0.2">
      <c r="A2" s="2" t="s">
        <v>9</v>
      </c>
      <c r="B2" s="2">
        <v>2013</v>
      </c>
      <c r="C2" s="2">
        <v>3</v>
      </c>
      <c r="D2" s="7">
        <v>31.972000000000001</v>
      </c>
      <c r="E2" s="7">
        <v>5.64</v>
      </c>
      <c r="F2" s="2">
        <v>3</v>
      </c>
      <c r="G2" s="2">
        <v>38</v>
      </c>
      <c r="H2" s="5">
        <f>(58/3)</f>
        <v>19.333333333333332</v>
      </c>
    </row>
    <row r="3" spans="1:9" x14ac:dyDescent="0.2">
      <c r="A3" t="s">
        <v>17</v>
      </c>
      <c r="B3">
        <v>2008</v>
      </c>
      <c r="C3">
        <v>3</v>
      </c>
      <c r="D3" s="3">
        <v>26.931999999999999</v>
      </c>
      <c r="E3" s="3">
        <v>3.64</v>
      </c>
      <c r="F3">
        <v>2</v>
      </c>
      <c r="G3">
        <v>15</v>
      </c>
      <c r="H3" s="6">
        <f>(32/2)</f>
        <v>16</v>
      </c>
    </row>
    <row r="4" spans="1:9" x14ac:dyDescent="0.2">
      <c r="A4" t="s">
        <v>222</v>
      </c>
      <c r="B4">
        <v>2007</v>
      </c>
      <c r="C4">
        <v>3</v>
      </c>
      <c r="D4" s="3">
        <v>26.7028</v>
      </c>
      <c r="E4" s="3">
        <v>-1.47</v>
      </c>
      <c r="F4">
        <v>2</v>
      </c>
      <c r="G4">
        <v>18</v>
      </c>
      <c r="H4" s="6">
        <f>(19/2)</f>
        <v>9.5</v>
      </c>
    </row>
    <row r="5" spans="1:9" x14ac:dyDescent="0.2">
      <c r="A5" s="2" t="s">
        <v>10</v>
      </c>
      <c r="B5" s="2">
        <v>2018</v>
      </c>
      <c r="C5" s="2">
        <v>3</v>
      </c>
      <c r="D5" s="7">
        <v>26.35</v>
      </c>
      <c r="E5" s="7">
        <v>-4.7</v>
      </c>
      <c r="F5" s="2"/>
      <c r="G5" s="2"/>
      <c r="H5" s="10"/>
    </row>
    <row r="6" spans="1:9" x14ac:dyDescent="0.2">
      <c r="A6" s="2" t="s">
        <v>77</v>
      </c>
      <c r="B6" s="2">
        <v>2016</v>
      </c>
      <c r="C6" s="2">
        <v>3</v>
      </c>
      <c r="D6" s="7">
        <v>25.919499999999999</v>
      </c>
      <c r="E6" s="7">
        <v>2.69</v>
      </c>
      <c r="F6" s="2">
        <v>0</v>
      </c>
      <c r="G6" s="2">
        <v>-14</v>
      </c>
      <c r="H6" s="5">
        <v>0</v>
      </c>
    </row>
    <row r="7" spans="1:9" x14ac:dyDescent="0.2">
      <c r="A7" s="2" t="s">
        <v>6</v>
      </c>
      <c r="B7" s="2">
        <v>2014</v>
      </c>
      <c r="C7" s="2">
        <v>3</v>
      </c>
      <c r="D7" s="7">
        <v>25.836300000000001</v>
      </c>
      <c r="E7" s="7">
        <v>6.25</v>
      </c>
      <c r="F7" s="2">
        <v>0</v>
      </c>
      <c r="G7" s="2">
        <v>-7</v>
      </c>
      <c r="H7" s="5">
        <v>0</v>
      </c>
    </row>
    <row r="8" spans="1:9" x14ac:dyDescent="0.2">
      <c r="A8" t="s">
        <v>28</v>
      </c>
      <c r="B8">
        <v>2004</v>
      </c>
      <c r="C8">
        <v>3</v>
      </c>
      <c r="D8" s="3">
        <v>25.4739</v>
      </c>
      <c r="E8" s="3">
        <v>-3.09</v>
      </c>
      <c r="F8">
        <v>2</v>
      </c>
      <c r="G8">
        <v>1</v>
      </c>
      <c r="H8" s="6">
        <f>(13/2)</f>
        <v>6.5</v>
      </c>
    </row>
    <row r="9" spans="1:9" x14ac:dyDescent="0.2">
      <c r="A9" t="s">
        <v>74</v>
      </c>
      <c r="B9">
        <v>2011</v>
      </c>
      <c r="C9">
        <v>3</v>
      </c>
      <c r="D9" s="3">
        <v>25.016500000000001</v>
      </c>
      <c r="E9" s="3">
        <v>2.88</v>
      </c>
      <c r="F9">
        <v>1</v>
      </c>
      <c r="G9">
        <v>4</v>
      </c>
      <c r="H9" s="6">
        <v>22</v>
      </c>
    </row>
    <row r="10" spans="1:9" x14ac:dyDescent="0.2">
      <c r="A10" s="2" t="s">
        <v>68</v>
      </c>
      <c r="B10" s="2">
        <v>2017</v>
      </c>
      <c r="C10" s="2">
        <v>3</v>
      </c>
      <c r="D10" s="7">
        <v>25.01</v>
      </c>
      <c r="E10" s="2">
        <v>1.66</v>
      </c>
      <c r="F10" s="2">
        <v>2</v>
      </c>
      <c r="G10" s="2">
        <v>2</v>
      </c>
      <c r="H10" s="5">
        <f>22/2</f>
        <v>11</v>
      </c>
    </row>
    <row r="11" spans="1:9" x14ac:dyDescent="0.2">
      <c r="A11" s="2" t="s">
        <v>25</v>
      </c>
      <c r="B11" s="2">
        <v>2014</v>
      </c>
      <c r="C11" s="2">
        <v>3</v>
      </c>
      <c r="D11" s="7">
        <v>24.735900000000001</v>
      </c>
      <c r="E11" s="7">
        <v>3.47</v>
      </c>
      <c r="F11" s="2">
        <v>1</v>
      </c>
      <c r="G11" s="2">
        <v>-20</v>
      </c>
      <c r="H11" s="5">
        <v>10</v>
      </c>
    </row>
    <row r="12" spans="1:9" x14ac:dyDescent="0.2">
      <c r="A12" t="s">
        <v>306</v>
      </c>
      <c r="B12">
        <v>2004</v>
      </c>
      <c r="C12">
        <v>3</v>
      </c>
      <c r="D12" s="3">
        <v>24.25</v>
      </c>
      <c r="E12" s="3">
        <v>2</v>
      </c>
      <c r="F12">
        <v>5</v>
      </c>
      <c r="G12">
        <v>14</v>
      </c>
      <c r="H12" s="6">
        <f>(23/5)</f>
        <v>4.5999999999999996</v>
      </c>
    </row>
    <row r="13" spans="1:9" x14ac:dyDescent="0.2">
      <c r="A13" s="2" t="s">
        <v>26</v>
      </c>
      <c r="B13" s="2">
        <v>2015</v>
      </c>
      <c r="C13" s="2">
        <v>3</v>
      </c>
      <c r="D13" s="7">
        <v>24.0686</v>
      </c>
      <c r="E13" s="7">
        <v>-6.7</v>
      </c>
      <c r="F13" s="2">
        <v>3</v>
      </c>
      <c r="G13" s="2">
        <v>16</v>
      </c>
      <c r="H13" s="6">
        <f>18/3</f>
        <v>6</v>
      </c>
    </row>
    <row r="14" spans="1:9" x14ac:dyDescent="0.2">
      <c r="A14" s="2" t="s">
        <v>38</v>
      </c>
      <c r="B14" s="2">
        <v>2015</v>
      </c>
      <c r="C14" s="2">
        <v>3</v>
      </c>
      <c r="D14" s="7">
        <v>24.0427</v>
      </c>
      <c r="E14" s="7">
        <v>2.84</v>
      </c>
      <c r="F14" s="2">
        <v>2</v>
      </c>
      <c r="G14" s="2">
        <v>11</v>
      </c>
      <c r="H14" s="6">
        <f>15/2</f>
        <v>7.5</v>
      </c>
    </row>
    <row r="15" spans="1:9" x14ac:dyDescent="0.2">
      <c r="A15" s="2" t="s">
        <v>44</v>
      </c>
      <c r="B15" s="2">
        <v>2017</v>
      </c>
      <c r="C15" s="2">
        <v>3</v>
      </c>
      <c r="D15" s="7">
        <v>23.83</v>
      </c>
      <c r="E15" s="2">
        <v>0.7</v>
      </c>
      <c r="F15" s="2">
        <v>4</v>
      </c>
      <c r="G15" s="2">
        <v>33</v>
      </c>
      <c r="H15" s="5">
        <f>34/4</f>
        <v>8.5</v>
      </c>
    </row>
    <row r="16" spans="1:9" x14ac:dyDescent="0.2">
      <c r="A16" t="s">
        <v>7</v>
      </c>
      <c r="B16">
        <v>2010</v>
      </c>
      <c r="C16">
        <v>3</v>
      </c>
      <c r="D16" s="3">
        <v>23.6707</v>
      </c>
      <c r="E16" s="3">
        <v>5.76</v>
      </c>
      <c r="F16">
        <v>0</v>
      </c>
      <c r="G16">
        <v>-14</v>
      </c>
      <c r="H16" s="6">
        <v>0</v>
      </c>
    </row>
    <row r="17" spans="1:8" x14ac:dyDescent="0.2">
      <c r="A17" t="s">
        <v>31</v>
      </c>
      <c r="B17">
        <v>2004</v>
      </c>
      <c r="C17">
        <v>3</v>
      </c>
      <c r="D17" s="3">
        <v>23.6356</v>
      </c>
      <c r="E17" s="3">
        <v>2.37</v>
      </c>
      <c r="F17">
        <v>1</v>
      </c>
      <c r="G17">
        <v>7</v>
      </c>
      <c r="H17" s="6">
        <v>9</v>
      </c>
    </row>
    <row r="18" spans="1:8" x14ac:dyDescent="0.2">
      <c r="A18" t="s">
        <v>4</v>
      </c>
      <c r="B18">
        <v>2005</v>
      </c>
      <c r="C18">
        <v>3</v>
      </c>
      <c r="D18" s="3">
        <v>23.4834</v>
      </c>
      <c r="E18" s="3">
        <v>13.9</v>
      </c>
      <c r="F18">
        <v>0</v>
      </c>
      <c r="G18">
        <v>-1</v>
      </c>
      <c r="H18" s="6">
        <v>0</v>
      </c>
    </row>
    <row r="19" spans="1:8" x14ac:dyDescent="0.2">
      <c r="A19" s="2" t="s">
        <v>68</v>
      </c>
      <c r="B19" s="2">
        <v>2015</v>
      </c>
      <c r="C19" s="2">
        <v>3</v>
      </c>
      <c r="D19" s="7">
        <v>23.4435</v>
      </c>
      <c r="E19" s="7">
        <v>2.71</v>
      </c>
      <c r="F19" s="2">
        <v>0</v>
      </c>
      <c r="G19" s="2">
        <v>-1</v>
      </c>
      <c r="H19" s="5">
        <v>0</v>
      </c>
    </row>
    <row r="20" spans="1:8" x14ac:dyDescent="0.2">
      <c r="A20" t="s">
        <v>459</v>
      </c>
      <c r="B20">
        <v>2008</v>
      </c>
      <c r="C20">
        <v>3</v>
      </c>
      <c r="D20" s="3">
        <v>23.374300000000002</v>
      </c>
      <c r="E20" s="3">
        <v>-3.74</v>
      </c>
      <c r="F20">
        <v>2</v>
      </c>
      <c r="G20">
        <v>5</v>
      </c>
      <c r="H20" s="6">
        <f>(25/2)</f>
        <v>12.5</v>
      </c>
    </row>
    <row r="21" spans="1:8" x14ac:dyDescent="0.2">
      <c r="A21" t="s">
        <v>9</v>
      </c>
      <c r="B21">
        <v>2006</v>
      </c>
      <c r="C21">
        <v>3</v>
      </c>
      <c r="D21" s="3">
        <v>23.2942</v>
      </c>
      <c r="E21" s="3">
        <v>-4.71</v>
      </c>
      <c r="F21">
        <v>6</v>
      </c>
      <c r="G21">
        <v>86</v>
      </c>
      <c r="H21" s="6">
        <f>(86/6)</f>
        <v>14.333333333333334</v>
      </c>
    </row>
    <row r="22" spans="1:8" x14ac:dyDescent="0.2">
      <c r="A22" s="2" t="s">
        <v>10</v>
      </c>
      <c r="B22" s="2">
        <v>2013</v>
      </c>
      <c r="C22" s="2">
        <v>3</v>
      </c>
      <c r="D22" s="7">
        <v>23.1982</v>
      </c>
      <c r="E22" s="7">
        <v>2.64</v>
      </c>
      <c r="F22" s="2">
        <v>2</v>
      </c>
      <c r="G22" s="2">
        <v>23</v>
      </c>
      <c r="H22" s="5">
        <f>(33/2)</f>
        <v>16.5</v>
      </c>
    </row>
    <row r="23" spans="1:8" x14ac:dyDescent="0.2">
      <c r="A23" s="2" t="s">
        <v>13</v>
      </c>
      <c r="B23" s="2">
        <v>2018</v>
      </c>
      <c r="C23" s="2">
        <v>3</v>
      </c>
      <c r="D23" s="7">
        <v>23.19</v>
      </c>
      <c r="E23" s="7">
        <v>-4.5999999999999996</v>
      </c>
      <c r="F23" s="2"/>
      <c r="G23" s="2"/>
      <c r="H23" s="10"/>
    </row>
    <row r="24" spans="1:8" x14ac:dyDescent="0.2">
      <c r="A24" t="s">
        <v>83</v>
      </c>
      <c r="B24">
        <v>2011</v>
      </c>
      <c r="C24">
        <v>3</v>
      </c>
      <c r="D24" s="3">
        <v>23.099499999999999</v>
      </c>
      <c r="E24" s="3">
        <v>3.82</v>
      </c>
      <c r="F24">
        <v>2</v>
      </c>
      <c r="G24">
        <v>21</v>
      </c>
      <c r="H24" s="6">
        <f>(30/2)</f>
        <v>15</v>
      </c>
    </row>
    <row r="25" spans="1:8" x14ac:dyDescent="0.2">
      <c r="A25" t="s">
        <v>38</v>
      </c>
      <c r="B25">
        <v>2005</v>
      </c>
      <c r="C25">
        <v>3</v>
      </c>
      <c r="D25" s="3">
        <v>23.043800000000001</v>
      </c>
      <c r="E25" s="3">
        <v>2.61</v>
      </c>
      <c r="F25">
        <v>1</v>
      </c>
      <c r="G25">
        <v>8</v>
      </c>
      <c r="H25" s="6">
        <v>17</v>
      </c>
    </row>
    <row r="26" spans="1:8" x14ac:dyDescent="0.2">
      <c r="A26" t="s">
        <v>33</v>
      </c>
      <c r="B26">
        <v>2009</v>
      </c>
      <c r="C26">
        <v>3</v>
      </c>
      <c r="D26" s="3">
        <v>23.033799999999999</v>
      </c>
      <c r="E26" s="3">
        <v>-0.56999999999999995</v>
      </c>
      <c r="F26">
        <v>3</v>
      </c>
      <c r="G26">
        <v>27</v>
      </c>
      <c r="H26" s="6">
        <f>(34/3)</f>
        <v>11.333333333333334</v>
      </c>
    </row>
    <row r="27" spans="1:8" x14ac:dyDescent="0.2">
      <c r="A27" s="2" t="s">
        <v>36</v>
      </c>
      <c r="B27" s="2">
        <v>2015</v>
      </c>
      <c r="C27" s="2">
        <v>3</v>
      </c>
      <c r="D27" s="7">
        <v>22.9985</v>
      </c>
      <c r="E27" s="7">
        <v>1.73</v>
      </c>
      <c r="F27" s="2">
        <v>0</v>
      </c>
      <c r="G27" s="2">
        <v>-1</v>
      </c>
      <c r="H27" s="5">
        <v>0</v>
      </c>
    </row>
    <row r="28" spans="1:8" x14ac:dyDescent="0.2">
      <c r="A28" s="2" t="s">
        <v>24</v>
      </c>
      <c r="B28" s="2">
        <v>2017</v>
      </c>
      <c r="C28" s="2">
        <v>3</v>
      </c>
      <c r="D28" s="7">
        <v>22.95</v>
      </c>
      <c r="E28" s="2">
        <v>-4.4400000000000004</v>
      </c>
      <c r="F28" s="2">
        <v>2</v>
      </c>
      <c r="G28" s="2">
        <v>18</v>
      </c>
      <c r="H28" s="5">
        <f>29/2</f>
        <v>14.5</v>
      </c>
    </row>
    <row r="29" spans="1:8" x14ac:dyDescent="0.2">
      <c r="A29" t="s">
        <v>68</v>
      </c>
      <c r="B29">
        <v>2010</v>
      </c>
      <c r="C29">
        <v>3</v>
      </c>
      <c r="D29" s="3">
        <v>22.854900000000001</v>
      </c>
      <c r="E29" s="3">
        <v>-0.72</v>
      </c>
      <c r="F29">
        <v>3</v>
      </c>
      <c r="G29">
        <v>33</v>
      </c>
      <c r="H29" s="6">
        <f>(40/3)</f>
        <v>13.333333333333334</v>
      </c>
    </row>
    <row r="30" spans="1:8" x14ac:dyDescent="0.2">
      <c r="A30" s="2" t="s">
        <v>8</v>
      </c>
      <c r="B30" s="2">
        <v>2016</v>
      </c>
      <c r="C30" s="2">
        <v>3</v>
      </c>
      <c r="D30" s="7">
        <v>22.844000000000001</v>
      </c>
      <c r="E30" s="7">
        <v>5.04</v>
      </c>
      <c r="F30" s="2">
        <v>2</v>
      </c>
      <c r="G30" s="2">
        <v>-8</v>
      </c>
      <c r="H30" s="5">
        <f>15 / 2</f>
        <v>7.5</v>
      </c>
    </row>
    <row r="31" spans="1:8" x14ac:dyDescent="0.2">
      <c r="A31" t="s">
        <v>1</v>
      </c>
      <c r="B31">
        <v>2008</v>
      </c>
      <c r="C31">
        <v>3</v>
      </c>
      <c r="D31" s="3">
        <v>22.7607</v>
      </c>
      <c r="E31" s="3">
        <v>3.51</v>
      </c>
      <c r="F31">
        <v>3</v>
      </c>
      <c r="G31">
        <v>57</v>
      </c>
      <c r="H31" s="6">
        <f>(67/3)</f>
        <v>22.333333333333332</v>
      </c>
    </row>
    <row r="32" spans="1:8" x14ac:dyDescent="0.2">
      <c r="A32" s="2" t="s">
        <v>69</v>
      </c>
      <c r="B32" s="2">
        <v>2017</v>
      </c>
      <c r="C32" s="2">
        <v>3</v>
      </c>
      <c r="D32" s="7">
        <v>22.74</v>
      </c>
      <c r="E32" s="2">
        <v>-3.6</v>
      </c>
      <c r="F32" s="2">
        <v>1</v>
      </c>
      <c r="G32" s="2">
        <v>-19</v>
      </c>
      <c r="H32" s="5">
        <f>6/1</f>
        <v>6</v>
      </c>
    </row>
    <row r="33" spans="1:8" x14ac:dyDescent="0.2">
      <c r="A33" t="s">
        <v>29</v>
      </c>
      <c r="B33">
        <v>2006</v>
      </c>
      <c r="C33">
        <v>3</v>
      </c>
      <c r="D33" s="3">
        <v>22.722799999999999</v>
      </c>
      <c r="E33" s="3">
        <v>2.74</v>
      </c>
      <c r="F33">
        <v>1</v>
      </c>
      <c r="G33">
        <v>-1</v>
      </c>
      <c r="H33" s="6">
        <v>4</v>
      </c>
    </row>
    <row r="34" spans="1:8" x14ac:dyDescent="0.2">
      <c r="A34" t="s">
        <v>4</v>
      </c>
      <c r="B34">
        <v>2009</v>
      </c>
      <c r="C34">
        <v>3</v>
      </c>
      <c r="D34" s="3">
        <v>22.621099999999998</v>
      </c>
      <c r="E34" s="3">
        <v>5.33</v>
      </c>
      <c r="F34">
        <v>2</v>
      </c>
      <c r="G34">
        <v>22</v>
      </c>
      <c r="H34" s="6">
        <f>(27/2)</f>
        <v>13.5</v>
      </c>
    </row>
    <row r="35" spans="1:8" x14ac:dyDescent="0.2">
      <c r="A35" t="s">
        <v>6</v>
      </c>
      <c r="B35">
        <v>2003</v>
      </c>
      <c r="C35">
        <v>3</v>
      </c>
      <c r="D35" s="3">
        <v>22.379300000000001</v>
      </c>
      <c r="E35" s="3">
        <v>4.0599999999999996</v>
      </c>
      <c r="F35">
        <v>2</v>
      </c>
      <c r="G35">
        <v>32</v>
      </c>
      <c r="H35" s="6">
        <f>(36/2)</f>
        <v>18</v>
      </c>
    </row>
    <row r="36" spans="1:8" x14ac:dyDescent="0.2">
      <c r="A36" t="s">
        <v>28</v>
      </c>
      <c r="B36">
        <v>2007</v>
      </c>
      <c r="C36">
        <v>3</v>
      </c>
      <c r="D36" s="3">
        <v>22.324999999999999</v>
      </c>
      <c r="E36" s="3">
        <v>3.44</v>
      </c>
      <c r="F36">
        <v>2</v>
      </c>
      <c r="G36">
        <v>17</v>
      </c>
      <c r="H36" s="6">
        <f>(26/2)</f>
        <v>13</v>
      </c>
    </row>
    <row r="37" spans="1:8" x14ac:dyDescent="0.2">
      <c r="A37" s="2" t="s">
        <v>225</v>
      </c>
      <c r="B37" s="2">
        <v>2018</v>
      </c>
      <c r="C37" s="2">
        <v>3</v>
      </c>
      <c r="D37" s="7">
        <v>22.15</v>
      </c>
      <c r="E37" s="7">
        <v>7.56</v>
      </c>
      <c r="F37" s="2"/>
      <c r="G37" s="2"/>
      <c r="H37" s="10"/>
    </row>
    <row r="38" spans="1:8" x14ac:dyDescent="0.2">
      <c r="A38" t="s">
        <v>14</v>
      </c>
      <c r="B38">
        <v>2011</v>
      </c>
      <c r="C38">
        <v>3</v>
      </c>
      <c r="D38" s="3">
        <v>22.003799999999998</v>
      </c>
      <c r="E38" s="3">
        <v>2.5099999999999998</v>
      </c>
      <c r="F38">
        <v>1</v>
      </c>
      <c r="G38">
        <v>13</v>
      </c>
      <c r="H38" s="6">
        <v>17</v>
      </c>
    </row>
    <row r="39" spans="1:8" x14ac:dyDescent="0.2">
      <c r="A39" s="2" t="s">
        <v>539</v>
      </c>
      <c r="B39" s="2">
        <v>2018</v>
      </c>
      <c r="C39" s="2">
        <v>3</v>
      </c>
      <c r="D39" s="7">
        <v>21.94</v>
      </c>
      <c r="E39" s="7">
        <v>-5.12</v>
      </c>
      <c r="F39" s="2"/>
      <c r="G39" s="2"/>
      <c r="H39" s="10"/>
    </row>
    <row r="40" spans="1:8" x14ac:dyDescent="0.2">
      <c r="A40" s="2" t="s">
        <v>222</v>
      </c>
      <c r="B40" s="2">
        <v>2016</v>
      </c>
      <c r="C40" s="2">
        <v>3</v>
      </c>
      <c r="D40" s="7">
        <v>21.9331</v>
      </c>
      <c r="E40" s="7">
        <v>6.5</v>
      </c>
      <c r="F40" s="2">
        <v>2</v>
      </c>
      <c r="G40" s="2">
        <v>17</v>
      </c>
      <c r="H40" s="5">
        <f>31 / 2</f>
        <v>15.5</v>
      </c>
    </row>
    <row r="41" spans="1:8" x14ac:dyDescent="0.2">
      <c r="A41" t="s">
        <v>76</v>
      </c>
      <c r="B41">
        <v>2008</v>
      </c>
      <c r="C41">
        <v>3</v>
      </c>
      <c r="D41" s="3">
        <v>21.871300000000002</v>
      </c>
      <c r="E41" s="3">
        <v>5.65</v>
      </c>
      <c r="F41">
        <v>3</v>
      </c>
      <c r="G41">
        <v>4</v>
      </c>
      <c r="H41" s="6">
        <f>(23/3)</f>
        <v>7.666666666666667</v>
      </c>
    </row>
    <row r="42" spans="1:8" x14ac:dyDescent="0.2">
      <c r="A42" s="2" t="s">
        <v>14</v>
      </c>
      <c r="B42" s="2">
        <v>2014</v>
      </c>
      <c r="C42" s="2">
        <v>3</v>
      </c>
      <c r="D42" s="7">
        <v>21.492699999999999</v>
      </c>
      <c r="E42" s="7">
        <v>2.97</v>
      </c>
      <c r="F42" s="2">
        <v>1</v>
      </c>
      <c r="G42" s="2">
        <v>22</v>
      </c>
      <c r="H42" s="5">
        <v>24</v>
      </c>
    </row>
    <row r="43" spans="1:8" x14ac:dyDescent="0.2">
      <c r="A43" s="2" t="s">
        <v>68</v>
      </c>
      <c r="B43">
        <v>2012</v>
      </c>
      <c r="C43">
        <v>3</v>
      </c>
      <c r="D43" s="3">
        <v>21.363600000000002</v>
      </c>
      <c r="E43" s="3">
        <v>0</v>
      </c>
      <c r="F43">
        <v>3</v>
      </c>
      <c r="G43">
        <v>18</v>
      </c>
      <c r="H43" s="6">
        <f>(30/3)</f>
        <v>10</v>
      </c>
    </row>
    <row r="44" spans="1:8" x14ac:dyDescent="0.2">
      <c r="A44" t="s">
        <v>14</v>
      </c>
      <c r="B44">
        <v>2009</v>
      </c>
      <c r="C44">
        <v>3</v>
      </c>
      <c r="D44" s="3">
        <v>21.151199999999999</v>
      </c>
      <c r="E44" s="3">
        <v>4.9800000000000004</v>
      </c>
      <c r="F44">
        <v>2</v>
      </c>
      <c r="G44">
        <v>13</v>
      </c>
      <c r="H44" s="6">
        <f>(26/2)</f>
        <v>13</v>
      </c>
    </row>
    <row r="45" spans="1:8" x14ac:dyDescent="0.2">
      <c r="A45" t="s">
        <v>90</v>
      </c>
      <c r="B45">
        <v>2011</v>
      </c>
      <c r="C45">
        <v>3</v>
      </c>
      <c r="D45" s="3">
        <v>21.148599999999998</v>
      </c>
      <c r="E45" s="3">
        <v>3.28</v>
      </c>
      <c r="F45">
        <v>6</v>
      </c>
      <c r="G45">
        <v>62</v>
      </c>
      <c r="H45" s="6">
        <f>(62/6)</f>
        <v>10.333333333333334</v>
      </c>
    </row>
    <row r="46" spans="1:8" x14ac:dyDescent="0.2">
      <c r="A46" t="s">
        <v>34</v>
      </c>
      <c r="B46">
        <v>2009</v>
      </c>
      <c r="C46">
        <v>3</v>
      </c>
      <c r="D46" s="3">
        <v>21.088799999999999</v>
      </c>
      <c r="E46" s="3">
        <v>-2.08</v>
      </c>
      <c r="F46">
        <v>4</v>
      </c>
      <c r="G46">
        <v>44</v>
      </c>
      <c r="H46" s="6">
        <f>(58/4)</f>
        <v>14.5</v>
      </c>
    </row>
    <row r="47" spans="1:8" x14ac:dyDescent="0.2">
      <c r="A47" s="2" t="s">
        <v>36</v>
      </c>
      <c r="B47" s="2">
        <v>2014</v>
      </c>
      <c r="C47" s="2">
        <v>3</v>
      </c>
      <c r="D47" s="7">
        <v>20.938400000000001</v>
      </c>
      <c r="E47" s="7">
        <v>3.88</v>
      </c>
      <c r="F47" s="2">
        <v>2</v>
      </c>
      <c r="G47" s="2">
        <v>15</v>
      </c>
      <c r="H47" s="6">
        <f>20/2</f>
        <v>10</v>
      </c>
    </row>
    <row r="48" spans="1:8" x14ac:dyDescent="0.2">
      <c r="A48" t="s">
        <v>12</v>
      </c>
      <c r="B48">
        <v>2003</v>
      </c>
      <c r="C48">
        <v>3</v>
      </c>
      <c r="D48" s="3">
        <v>20.803899999999999</v>
      </c>
      <c r="E48" s="3">
        <v>1.95</v>
      </c>
      <c r="F48">
        <v>4</v>
      </c>
      <c r="G48">
        <v>-3</v>
      </c>
      <c r="H48" s="6">
        <f>(30/4)</f>
        <v>7.5</v>
      </c>
    </row>
    <row r="49" spans="1:8" x14ac:dyDescent="0.2">
      <c r="A49" t="s">
        <v>78</v>
      </c>
      <c r="B49">
        <v>2004</v>
      </c>
      <c r="C49">
        <v>3</v>
      </c>
      <c r="D49" s="3">
        <v>20.732399999999998</v>
      </c>
      <c r="E49" s="3">
        <v>4.72</v>
      </c>
      <c r="F49">
        <v>2</v>
      </c>
      <c r="G49">
        <v>12</v>
      </c>
      <c r="H49" s="6">
        <f>(20/2)</f>
        <v>10</v>
      </c>
    </row>
    <row r="50" spans="1:8" x14ac:dyDescent="0.2">
      <c r="A50" s="2" t="s">
        <v>11</v>
      </c>
      <c r="B50" s="2">
        <v>2013</v>
      </c>
      <c r="C50" s="2">
        <v>3</v>
      </c>
      <c r="D50" s="7">
        <v>20.682700000000001</v>
      </c>
      <c r="E50" s="7">
        <v>6.21</v>
      </c>
      <c r="F50" s="2">
        <v>0</v>
      </c>
      <c r="G50" s="2">
        <v>-6</v>
      </c>
      <c r="H50" s="5">
        <v>0</v>
      </c>
    </row>
    <row r="51" spans="1:8" x14ac:dyDescent="0.2">
      <c r="A51" t="s">
        <v>76</v>
      </c>
      <c r="B51">
        <v>2003</v>
      </c>
      <c r="C51">
        <v>3</v>
      </c>
      <c r="D51" s="3">
        <v>20.531400000000001</v>
      </c>
      <c r="E51" s="3">
        <v>5.77</v>
      </c>
      <c r="F51">
        <v>1</v>
      </c>
      <c r="G51">
        <v>-1</v>
      </c>
      <c r="H51" s="6">
        <v>12</v>
      </c>
    </row>
    <row r="52" spans="1:8" x14ac:dyDescent="0.2">
      <c r="A52" t="s">
        <v>21</v>
      </c>
      <c r="B52">
        <v>2002</v>
      </c>
      <c r="C52">
        <v>3</v>
      </c>
      <c r="D52" s="3">
        <v>20.364699999999999</v>
      </c>
      <c r="E52" s="3">
        <v>18.68</v>
      </c>
      <c r="F52">
        <v>2</v>
      </c>
      <c r="G52">
        <v>-8</v>
      </c>
      <c r="H52" s="6">
        <f>13 / 2</f>
        <v>6.5</v>
      </c>
    </row>
    <row r="53" spans="1:8" x14ac:dyDescent="0.2">
      <c r="A53" s="2" t="s">
        <v>7</v>
      </c>
      <c r="B53">
        <v>2012</v>
      </c>
      <c r="C53">
        <v>3</v>
      </c>
      <c r="D53" s="3">
        <v>20.3261</v>
      </c>
      <c r="E53" s="3">
        <v>3.09</v>
      </c>
      <c r="F53">
        <v>1</v>
      </c>
      <c r="G53">
        <v>12</v>
      </c>
      <c r="H53" s="6">
        <v>15</v>
      </c>
    </row>
    <row r="54" spans="1:8" x14ac:dyDescent="0.2">
      <c r="A54" t="s">
        <v>21</v>
      </c>
      <c r="B54">
        <v>2005</v>
      </c>
      <c r="C54">
        <v>3</v>
      </c>
      <c r="D54" s="3">
        <v>20.2545</v>
      </c>
      <c r="E54" s="3">
        <v>5.41</v>
      </c>
      <c r="F54">
        <v>3</v>
      </c>
      <c r="G54">
        <v>35</v>
      </c>
      <c r="H54" s="6">
        <f>(36/3)</f>
        <v>12</v>
      </c>
    </row>
    <row r="55" spans="1:8" x14ac:dyDescent="0.2">
      <c r="A55" t="s">
        <v>14</v>
      </c>
      <c r="B55">
        <v>2003</v>
      </c>
      <c r="C55">
        <v>3</v>
      </c>
      <c r="D55" s="3">
        <v>19.479399999999998</v>
      </c>
      <c r="E55" s="3">
        <v>0.8</v>
      </c>
      <c r="F55">
        <v>6</v>
      </c>
      <c r="G55">
        <v>54</v>
      </c>
      <c r="H55" s="6">
        <f>(54/6)</f>
        <v>9</v>
      </c>
    </row>
    <row r="56" spans="1:8" x14ac:dyDescent="0.2">
      <c r="A56" t="s">
        <v>227</v>
      </c>
      <c r="B56">
        <v>2002</v>
      </c>
      <c r="C56">
        <v>3</v>
      </c>
      <c r="D56" s="3">
        <v>19.392700000000001</v>
      </c>
      <c r="E56" s="3">
        <v>4.3099999999999996</v>
      </c>
      <c r="F56">
        <v>1</v>
      </c>
      <c r="G56">
        <v>15</v>
      </c>
      <c r="H56" s="6">
        <v>17</v>
      </c>
    </row>
    <row r="57" spans="1:8" x14ac:dyDescent="0.2">
      <c r="A57" t="s">
        <v>44</v>
      </c>
      <c r="B57">
        <v>2007</v>
      </c>
      <c r="C57">
        <v>3</v>
      </c>
      <c r="D57" s="3">
        <v>19.334299999999999</v>
      </c>
      <c r="E57" s="3">
        <v>-4.7300000000000004</v>
      </c>
      <c r="F57">
        <v>3</v>
      </c>
      <c r="G57">
        <v>12</v>
      </c>
      <c r="H57" s="6">
        <f>(20/3)</f>
        <v>6.666666666666667</v>
      </c>
    </row>
    <row r="58" spans="1:8" x14ac:dyDescent="0.2">
      <c r="A58" s="2" t="s">
        <v>12</v>
      </c>
      <c r="B58">
        <v>2012</v>
      </c>
      <c r="C58">
        <v>3</v>
      </c>
      <c r="D58" s="3">
        <v>19.306100000000001</v>
      </c>
      <c r="E58" s="3">
        <v>1.33</v>
      </c>
      <c r="F58">
        <v>2</v>
      </c>
      <c r="G58">
        <v>19</v>
      </c>
      <c r="H58" s="6">
        <f>(29/2)</f>
        <v>14.5</v>
      </c>
    </row>
    <row r="59" spans="1:8" x14ac:dyDescent="0.2">
      <c r="A59" t="s">
        <v>28</v>
      </c>
      <c r="B59">
        <v>2002</v>
      </c>
      <c r="C59">
        <v>3</v>
      </c>
      <c r="D59" s="3">
        <v>19.070399999999999</v>
      </c>
      <c r="E59" s="3">
        <v>-7.05</v>
      </c>
      <c r="F59">
        <v>2</v>
      </c>
      <c r="G59">
        <v>25</v>
      </c>
      <c r="H59" s="6">
        <f>30 / 2</f>
        <v>15</v>
      </c>
    </row>
    <row r="60" spans="1:8" x14ac:dyDescent="0.2">
      <c r="A60" t="s">
        <v>615</v>
      </c>
      <c r="B60">
        <v>2006</v>
      </c>
      <c r="C60">
        <v>3</v>
      </c>
      <c r="D60" s="3">
        <v>18.907900000000001</v>
      </c>
      <c r="E60" s="3">
        <v>1.82</v>
      </c>
      <c r="F60">
        <v>0</v>
      </c>
      <c r="G60">
        <v>-1</v>
      </c>
      <c r="H60" s="6">
        <v>0</v>
      </c>
    </row>
    <row r="61" spans="1:8" x14ac:dyDescent="0.2">
      <c r="A61" s="2" t="s">
        <v>12</v>
      </c>
      <c r="B61" s="2">
        <v>2013</v>
      </c>
      <c r="C61" s="2">
        <v>3</v>
      </c>
      <c r="D61" s="7">
        <v>18.6309</v>
      </c>
      <c r="E61" s="7">
        <v>1.65</v>
      </c>
      <c r="F61" s="2">
        <v>3</v>
      </c>
      <c r="G61" s="2">
        <v>-3</v>
      </c>
      <c r="H61" s="5">
        <f>(13/3)</f>
        <v>4.333333333333333</v>
      </c>
    </row>
    <row r="62" spans="1:8" x14ac:dyDescent="0.2">
      <c r="A62" t="s">
        <v>28</v>
      </c>
      <c r="B62">
        <v>2010</v>
      </c>
      <c r="C62">
        <v>3</v>
      </c>
      <c r="D62" s="3">
        <v>18.351199999999999</v>
      </c>
      <c r="E62" s="3">
        <v>1.58</v>
      </c>
      <c r="F62">
        <v>1</v>
      </c>
      <c r="G62">
        <v>20</v>
      </c>
      <c r="H62" s="6">
        <v>23</v>
      </c>
    </row>
    <row r="63" spans="1:8" x14ac:dyDescent="0.2">
      <c r="A63" t="s">
        <v>3</v>
      </c>
      <c r="B63">
        <v>2005</v>
      </c>
      <c r="C63">
        <v>3</v>
      </c>
      <c r="D63" s="3">
        <v>18.102599999999999</v>
      </c>
      <c r="E63" s="3">
        <v>3.96</v>
      </c>
      <c r="F63">
        <v>1</v>
      </c>
      <c r="G63">
        <v>8</v>
      </c>
      <c r="H63" s="6">
        <v>10</v>
      </c>
    </row>
    <row r="64" spans="1:8" x14ac:dyDescent="0.2">
      <c r="A64" s="2" t="s">
        <v>380</v>
      </c>
      <c r="B64" s="2">
        <v>2016</v>
      </c>
      <c r="C64" s="2">
        <v>3</v>
      </c>
      <c r="D64" s="7">
        <v>18.090399999999999</v>
      </c>
      <c r="E64" s="7">
        <v>4.8600000000000003</v>
      </c>
      <c r="F64" s="2">
        <v>1</v>
      </c>
      <c r="G64" s="2">
        <v>-12</v>
      </c>
      <c r="H64" s="5">
        <v>11</v>
      </c>
    </row>
    <row r="65" spans="1:8" x14ac:dyDescent="0.2">
      <c r="A65" s="2" t="s">
        <v>69</v>
      </c>
      <c r="B65">
        <v>2012</v>
      </c>
      <c r="C65">
        <v>3</v>
      </c>
      <c r="D65" s="3">
        <v>17.946999999999999</v>
      </c>
      <c r="E65" s="3">
        <v>4.37</v>
      </c>
      <c r="F65">
        <v>1</v>
      </c>
      <c r="G65">
        <v>-3</v>
      </c>
      <c r="H65" s="6">
        <v>3</v>
      </c>
    </row>
    <row r="66" spans="1:8" x14ac:dyDescent="0.2">
      <c r="A66" t="s">
        <v>387</v>
      </c>
      <c r="B66">
        <v>2002</v>
      </c>
      <c r="C66">
        <v>3</v>
      </c>
      <c r="D66" s="3">
        <v>17.6401</v>
      </c>
      <c r="E66" s="3">
        <v>-0.36</v>
      </c>
      <c r="F66">
        <v>1</v>
      </c>
      <c r="G66">
        <v>8</v>
      </c>
      <c r="H66" s="6">
        <v>12</v>
      </c>
    </row>
    <row r="67" spans="1:8" x14ac:dyDescent="0.2">
      <c r="A67" t="s">
        <v>460</v>
      </c>
      <c r="B67">
        <v>2007</v>
      </c>
      <c r="C67">
        <v>3</v>
      </c>
      <c r="D67" s="3">
        <v>17.517299999999999</v>
      </c>
      <c r="E67" s="3">
        <v>-3.57</v>
      </c>
      <c r="F67">
        <v>1</v>
      </c>
      <c r="G67">
        <v>12</v>
      </c>
      <c r="H67" s="6">
        <v>16</v>
      </c>
    </row>
    <row r="68" spans="1:8" x14ac:dyDescent="0.2">
      <c r="A68" t="s">
        <v>11</v>
      </c>
      <c r="B68">
        <v>2010</v>
      </c>
      <c r="C68">
        <v>3</v>
      </c>
      <c r="D68" s="3">
        <v>16.946000000000002</v>
      </c>
      <c r="E68" s="3">
        <v>3.68</v>
      </c>
      <c r="F68">
        <v>1</v>
      </c>
      <c r="G68">
        <v>-13</v>
      </c>
      <c r="H68" s="6">
        <v>5</v>
      </c>
    </row>
    <row r="69" spans="1:8" x14ac:dyDescent="0.2">
      <c r="A69" t="s">
        <v>3</v>
      </c>
      <c r="B69">
        <v>2006</v>
      </c>
      <c r="C69">
        <v>3</v>
      </c>
      <c r="D69" s="3">
        <v>14.407500000000001</v>
      </c>
      <c r="E69" s="3">
        <v>9.77</v>
      </c>
      <c r="F69">
        <v>2</v>
      </c>
      <c r="G69">
        <v>12</v>
      </c>
      <c r="H69" s="6">
        <f>(14/2)</f>
        <v>7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9"/>
  <sheetViews>
    <sheetView topLeftCell="A13" workbookViewId="0">
      <selection activeCell="A45" sqref="A45:IV45"/>
    </sheetView>
  </sheetViews>
  <sheetFormatPr baseColWidth="10" defaultRowHeight="16" x14ac:dyDescent="0.2"/>
  <cols>
    <col min="1" max="1" width="15.5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1178</v>
      </c>
      <c r="E1" s="1" t="s">
        <v>1176</v>
      </c>
      <c r="F1" s="1" t="s">
        <v>65</v>
      </c>
      <c r="G1" s="1" t="s">
        <v>91</v>
      </c>
      <c r="H1" s="1" t="s">
        <v>92</v>
      </c>
    </row>
    <row r="2" spans="1:8" x14ac:dyDescent="0.2">
      <c r="A2" s="2" t="s">
        <v>1</v>
      </c>
      <c r="B2" s="2">
        <v>2014</v>
      </c>
      <c r="C2" s="2">
        <v>4</v>
      </c>
      <c r="D2" s="7">
        <v>30.531600000000001</v>
      </c>
      <c r="E2" s="7">
        <v>-1.38</v>
      </c>
      <c r="F2" s="2">
        <v>2</v>
      </c>
      <c r="G2" s="2">
        <v>17</v>
      </c>
      <c r="H2" s="6">
        <f>22/2</f>
        <v>11</v>
      </c>
    </row>
    <row r="3" spans="1:8" x14ac:dyDescent="0.2">
      <c r="A3" s="2" t="s">
        <v>77</v>
      </c>
      <c r="B3" s="2">
        <v>2017</v>
      </c>
      <c r="C3" s="2">
        <v>4</v>
      </c>
      <c r="D3" s="7">
        <v>26.8</v>
      </c>
      <c r="E3" s="2">
        <v>-7.91</v>
      </c>
      <c r="F3" s="2">
        <v>2</v>
      </c>
      <c r="G3" s="2">
        <v>15</v>
      </c>
      <c r="H3" s="5">
        <f>18/2</f>
        <v>9</v>
      </c>
    </row>
    <row r="4" spans="1:8" x14ac:dyDescent="0.2">
      <c r="A4" s="2" t="s">
        <v>9</v>
      </c>
      <c r="B4" s="2">
        <v>2017</v>
      </c>
      <c r="C4" s="2">
        <v>4</v>
      </c>
      <c r="D4" s="7">
        <v>26.39</v>
      </c>
      <c r="E4" s="2">
        <v>8.8800000000000008</v>
      </c>
      <c r="F4" s="2">
        <v>3</v>
      </c>
      <c r="G4" s="2">
        <v>35</v>
      </c>
      <c r="H4" s="5">
        <f>42/3</f>
        <v>14</v>
      </c>
    </row>
    <row r="5" spans="1:8" x14ac:dyDescent="0.2">
      <c r="A5" t="s">
        <v>78</v>
      </c>
      <c r="B5">
        <v>2011</v>
      </c>
      <c r="C5">
        <v>4</v>
      </c>
      <c r="D5" s="3">
        <v>26.178599999999999</v>
      </c>
      <c r="E5" s="3">
        <v>3.71</v>
      </c>
      <c r="F5">
        <v>1</v>
      </c>
      <c r="G5">
        <v>3</v>
      </c>
      <c r="H5" s="6">
        <v>4</v>
      </c>
    </row>
    <row r="6" spans="1:8" x14ac:dyDescent="0.2">
      <c r="A6" t="s">
        <v>3</v>
      </c>
      <c r="B6">
        <v>2009</v>
      </c>
      <c r="C6">
        <v>4</v>
      </c>
      <c r="D6" s="3">
        <v>25.272500000000001</v>
      </c>
      <c r="E6" s="3">
        <v>10.17</v>
      </c>
      <c r="F6">
        <v>2</v>
      </c>
      <c r="G6">
        <v>-6</v>
      </c>
      <c r="H6" s="6">
        <f>(15/2)</f>
        <v>7.5</v>
      </c>
    </row>
    <row r="7" spans="1:8" x14ac:dyDescent="0.2">
      <c r="A7" t="s">
        <v>17</v>
      </c>
      <c r="B7">
        <v>2010</v>
      </c>
      <c r="C7">
        <v>4</v>
      </c>
      <c r="D7" s="3">
        <v>25.084399999999999</v>
      </c>
      <c r="E7" s="3">
        <v>4.1900000000000004</v>
      </c>
      <c r="F7">
        <v>1</v>
      </c>
      <c r="G7">
        <v>-14</v>
      </c>
      <c r="H7" s="6">
        <v>4</v>
      </c>
    </row>
    <row r="8" spans="1:8" x14ac:dyDescent="0.2">
      <c r="A8" t="s">
        <v>17</v>
      </c>
      <c r="B8">
        <v>2011</v>
      </c>
      <c r="C8">
        <v>4</v>
      </c>
      <c r="D8" s="3">
        <v>25.080400000000001</v>
      </c>
      <c r="E8" s="3">
        <v>-7.0000000000000007E-2</v>
      </c>
      <c r="F8">
        <v>2</v>
      </c>
      <c r="G8">
        <v>12</v>
      </c>
      <c r="H8" s="6">
        <f>(19/2)</f>
        <v>9.5</v>
      </c>
    </row>
    <row r="9" spans="1:8" x14ac:dyDescent="0.2">
      <c r="A9" s="2" t="s">
        <v>66</v>
      </c>
      <c r="B9" s="2">
        <v>2016</v>
      </c>
      <c r="C9" s="2">
        <v>4</v>
      </c>
      <c r="D9" s="7">
        <v>25.0533</v>
      </c>
      <c r="E9" s="7">
        <v>6.23</v>
      </c>
      <c r="F9" s="2">
        <v>1</v>
      </c>
      <c r="G9" s="2">
        <v>22</v>
      </c>
      <c r="H9" s="5">
        <v>28</v>
      </c>
    </row>
    <row r="10" spans="1:8" x14ac:dyDescent="0.2">
      <c r="A10" s="2" t="s">
        <v>13</v>
      </c>
      <c r="B10">
        <v>2013</v>
      </c>
      <c r="C10" s="2">
        <v>4</v>
      </c>
      <c r="D10" s="7">
        <v>24.904199999999999</v>
      </c>
      <c r="E10" s="3">
        <v>0.24</v>
      </c>
      <c r="F10">
        <v>5</v>
      </c>
      <c r="G10">
        <v>61</v>
      </c>
      <c r="H10" s="6">
        <f>(67/5)</f>
        <v>13.4</v>
      </c>
    </row>
    <row r="11" spans="1:8" x14ac:dyDescent="0.2">
      <c r="A11" s="2" t="s">
        <v>3</v>
      </c>
      <c r="B11" s="2">
        <v>2018</v>
      </c>
      <c r="C11" s="2">
        <v>4</v>
      </c>
      <c r="D11" s="7">
        <v>24.74</v>
      </c>
      <c r="E11" s="7">
        <v>3.24</v>
      </c>
      <c r="F11" s="2"/>
      <c r="G11" s="2"/>
      <c r="H11" s="10"/>
    </row>
    <row r="12" spans="1:8" x14ac:dyDescent="0.2">
      <c r="A12" s="2" t="s">
        <v>74</v>
      </c>
      <c r="B12" s="2">
        <v>2017</v>
      </c>
      <c r="C12" s="2">
        <v>4</v>
      </c>
      <c r="D12" s="7">
        <v>24.22</v>
      </c>
      <c r="E12" s="2">
        <v>-1.94</v>
      </c>
      <c r="F12" s="2">
        <v>2</v>
      </c>
      <c r="G12" s="2">
        <v>-18</v>
      </c>
      <c r="H12" s="5">
        <f>14/2</f>
        <v>7</v>
      </c>
    </row>
    <row r="13" spans="1:8" x14ac:dyDescent="0.2">
      <c r="A13" t="s">
        <v>1</v>
      </c>
      <c r="B13">
        <v>2005</v>
      </c>
      <c r="C13">
        <v>4</v>
      </c>
      <c r="D13" s="3">
        <v>24.2075</v>
      </c>
      <c r="E13" s="3">
        <v>2.19</v>
      </c>
      <c r="F13">
        <v>4</v>
      </c>
      <c r="G13">
        <v>35</v>
      </c>
      <c r="H13" s="6">
        <f>(50/4)</f>
        <v>12.5</v>
      </c>
    </row>
    <row r="14" spans="1:8" x14ac:dyDescent="0.2">
      <c r="A14" t="s">
        <v>27</v>
      </c>
      <c r="B14">
        <v>2003</v>
      </c>
      <c r="C14">
        <v>4</v>
      </c>
      <c r="D14" s="3">
        <v>24.196000000000002</v>
      </c>
      <c r="E14" s="3">
        <v>-0.79</v>
      </c>
      <c r="F14">
        <v>1</v>
      </c>
      <c r="G14">
        <v>-3</v>
      </c>
      <c r="H14" s="6">
        <v>5</v>
      </c>
    </row>
    <row r="15" spans="1:8" x14ac:dyDescent="0.2">
      <c r="A15" t="s">
        <v>66</v>
      </c>
      <c r="B15">
        <v>2011</v>
      </c>
      <c r="C15">
        <v>4</v>
      </c>
      <c r="D15" s="3">
        <v>23.971499999999999</v>
      </c>
      <c r="E15" s="3">
        <v>6.59</v>
      </c>
      <c r="F15">
        <v>4</v>
      </c>
      <c r="G15">
        <v>18</v>
      </c>
      <c r="H15" s="6">
        <f>(19/4)</f>
        <v>4.75</v>
      </c>
    </row>
    <row r="16" spans="1:8" x14ac:dyDescent="0.2">
      <c r="A16" s="2" t="s">
        <v>29</v>
      </c>
      <c r="B16" s="2">
        <v>2015</v>
      </c>
      <c r="C16" s="2">
        <v>4</v>
      </c>
      <c r="D16" s="7">
        <v>23.7925</v>
      </c>
      <c r="E16" s="7">
        <v>9.89</v>
      </c>
      <c r="F16" s="2">
        <v>2</v>
      </c>
      <c r="G16" s="2">
        <v>4</v>
      </c>
      <c r="H16" s="6">
        <f>11/2</f>
        <v>5.5</v>
      </c>
    </row>
    <row r="17" spans="1:8" x14ac:dyDescent="0.2">
      <c r="A17" t="s">
        <v>4</v>
      </c>
      <c r="B17">
        <v>2006</v>
      </c>
      <c r="C17">
        <v>4</v>
      </c>
      <c r="D17" s="3">
        <v>23.574300000000001</v>
      </c>
      <c r="E17" s="3">
        <v>2.89</v>
      </c>
      <c r="F17">
        <v>0</v>
      </c>
      <c r="G17">
        <v>-4</v>
      </c>
      <c r="H17" s="6">
        <v>0</v>
      </c>
    </row>
    <row r="18" spans="1:8" x14ac:dyDescent="0.2">
      <c r="A18" t="s">
        <v>460</v>
      </c>
      <c r="B18">
        <v>2008</v>
      </c>
      <c r="C18">
        <v>4</v>
      </c>
      <c r="D18" s="3">
        <v>23.407499999999999</v>
      </c>
      <c r="E18" s="3">
        <v>-4.6100000000000003</v>
      </c>
      <c r="F18">
        <v>2</v>
      </c>
      <c r="G18">
        <v>31</v>
      </c>
      <c r="H18" s="6">
        <f>(51/2)</f>
        <v>25.5</v>
      </c>
    </row>
    <row r="19" spans="1:8" x14ac:dyDescent="0.2">
      <c r="A19" t="s">
        <v>37</v>
      </c>
      <c r="B19">
        <v>2004</v>
      </c>
      <c r="C19">
        <v>4</v>
      </c>
      <c r="D19" s="3">
        <v>23.3764</v>
      </c>
      <c r="E19" s="3">
        <v>3.07</v>
      </c>
      <c r="F19">
        <v>1</v>
      </c>
      <c r="G19">
        <v>-21</v>
      </c>
      <c r="H19" s="6">
        <v>3</v>
      </c>
    </row>
    <row r="20" spans="1:8" x14ac:dyDescent="0.2">
      <c r="A20" t="s">
        <v>9</v>
      </c>
      <c r="B20">
        <v>2005</v>
      </c>
      <c r="C20">
        <v>4</v>
      </c>
      <c r="D20" s="3">
        <v>23.274100000000001</v>
      </c>
      <c r="E20" s="3">
        <v>-0.8</v>
      </c>
      <c r="F20">
        <v>1</v>
      </c>
      <c r="G20">
        <v>-6</v>
      </c>
      <c r="H20" s="6">
        <v>5</v>
      </c>
    </row>
    <row r="21" spans="1:8" x14ac:dyDescent="0.2">
      <c r="A21" t="s">
        <v>27</v>
      </c>
      <c r="B21">
        <v>2006</v>
      </c>
      <c r="C21">
        <v>4</v>
      </c>
      <c r="D21" s="3">
        <v>23.254300000000001</v>
      </c>
      <c r="E21" s="3">
        <v>-1.18</v>
      </c>
      <c r="F21">
        <v>1</v>
      </c>
      <c r="G21">
        <v>6</v>
      </c>
      <c r="H21" s="6">
        <v>9</v>
      </c>
    </row>
    <row r="22" spans="1:8" x14ac:dyDescent="0.2">
      <c r="A22" s="2" t="s">
        <v>17</v>
      </c>
      <c r="B22">
        <v>2012</v>
      </c>
      <c r="C22">
        <v>4</v>
      </c>
      <c r="D22" s="3">
        <v>23.213999999999999</v>
      </c>
      <c r="E22" s="3">
        <v>-0.03</v>
      </c>
      <c r="F22">
        <v>2</v>
      </c>
      <c r="G22">
        <v>26</v>
      </c>
      <c r="H22" s="6">
        <f>(27/2)</f>
        <v>13.5</v>
      </c>
    </row>
    <row r="23" spans="1:8" x14ac:dyDescent="0.2">
      <c r="A23" t="s">
        <v>1</v>
      </c>
      <c r="B23">
        <v>2003</v>
      </c>
      <c r="C23">
        <v>4</v>
      </c>
      <c r="D23" s="3">
        <v>23.186299999999999</v>
      </c>
      <c r="E23" s="3">
        <v>7.3</v>
      </c>
      <c r="F23">
        <v>1</v>
      </c>
      <c r="G23">
        <v>14</v>
      </c>
      <c r="H23" s="6">
        <v>22</v>
      </c>
    </row>
    <row r="24" spans="1:8" x14ac:dyDescent="0.2">
      <c r="A24" t="s">
        <v>66</v>
      </c>
      <c r="B24">
        <v>2002</v>
      </c>
      <c r="C24">
        <v>4</v>
      </c>
      <c r="D24" s="3">
        <v>23.136399999999998</v>
      </c>
      <c r="E24" s="3">
        <v>9.8699999999999992</v>
      </c>
      <c r="F24">
        <v>2</v>
      </c>
      <c r="G24">
        <v>10</v>
      </c>
      <c r="H24" s="6">
        <f>20 / 2</f>
        <v>10</v>
      </c>
    </row>
    <row r="25" spans="1:8" x14ac:dyDescent="0.2">
      <c r="A25" s="2" t="s">
        <v>10</v>
      </c>
      <c r="B25" s="2">
        <v>2014</v>
      </c>
      <c r="C25" s="2">
        <v>4</v>
      </c>
      <c r="D25" s="7">
        <v>22.934699999999999</v>
      </c>
      <c r="E25" s="7">
        <v>3.26</v>
      </c>
      <c r="F25" s="2">
        <v>3</v>
      </c>
      <c r="G25" s="2">
        <v>18</v>
      </c>
      <c r="H25" s="6">
        <f>24/3</f>
        <v>8</v>
      </c>
    </row>
    <row r="26" spans="1:8" x14ac:dyDescent="0.2">
      <c r="A26" s="2" t="s">
        <v>14</v>
      </c>
      <c r="B26">
        <v>2013</v>
      </c>
      <c r="C26" s="2">
        <v>4</v>
      </c>
      <c r="D26" s="7">
        <v>22.547999999999998</v>
      </c>
      <c r="E26" s="3">
        <v>-0.15</v>
      </c>
      <c r="F26">
        <v>4</v>
      </c>
      <c r="G26">
        <v>75</v>
      </c>
      <c r="H26" s="6">
        <f>(80/5)</f>
        <v>16</v>
      </c>
    </row>
    <row r="27" spans="1:8" x14ac:dyDescent="0.2">
      <c r="A27" s="2" t="s">
        <v>2</v>
      </c>
      <c r="B27">
        <v>2012</v>
      </c>
      <c r="C27">
        <v>4</v>
      </c>
      <c r="D27" s="3">
        <v>22.507200000000001</v>
      </c>
      <c r="E27" s="3">
        <v>-1.26</v>
      </c>
      <c r="F27">
        <v>2</v>
      </c>
      <c r="G27">
        <v>3</v>
      </c>
      <c r="H27" s="6">
        <f>(15/2)</f>
        <v>7.5</v>
      </c>
    </row>
    <row r="28" spans="1:8" x14ac:dyDescent="0.2">
      <c r="A28" t="s">
        <v>1</v>
      </c>
      <c r="B28">
        <v>2011</v>
      </c>
      <c r="C28">
        <v>4</v>
      </c>
      <c r="D28" s="3">
        <v>22.441600000000001</v>
      </c>
      <c r="E28" s="3">
        <v>-0.6</v>
      </c>
      <c r="F28">
        <v>0</v>
      </c>
      <c r="G28">
        <v>-1</v>
      </c>
      <c r="H28" s="6">
        <v>0</v>
      </c>
    </row>
    <row r="29" spans="1:8" x14ac:dyDescent="0.2">
      <c r="A29" s="2" t="s">
        <v>24</v>
      </c>
      <c r="B29" s="2">
        <v>2014</v>
      </c>
      <c r="C29" s="2">
        <v>4</v>
      </c>
      <c r="D29" s="7">
        <v>22.2913</v>
      </c>
      <c r="E29" s="7">
        <v>0.46</v>
      </c>
      <c r="F29" s="2">
        <v>2</v>
      </c>
      <c r="G29" s="2">
        <v>23</v>
      </c>
      <c r="H29" s="6">
        <f>34/2</f>
        <v>17</v>
      </c>
    </row>
    <row r="30" spans="1:8" x14ac:dyDescent="0.2">
      <c r="A30" t="s">
        <v>303</v>
      </c>
      <c r="B30">
        <v>2010</v>
      </c>
      <c r="C30">
        <v>4</v>
      </c>
      <c r="D30" s="3">
        <v>22.086500000000001</v>
      </c>
      <c r="E30" s="3">
        <v>-1.69</v>
      </c>
      <c r="F30">
        <v>1</v>
      </c>
      <c r="G30">
        <v>10</v>
      </c>
      <c r="H30" s="6">
        <v>12</v>
      </c>
    </row>
    <row r="31" spans="1:8" x14ac:dyDescent="0.2">
      <c r="A31" s="2" t="s">
        <v>6</v>
      </c>
      <c r="B31" s="2">
        <v>2016</v>
      </c>
      <c r="C31" s="2">
        <v>4</v>
      </c>
      <c r="D31" s="7">
        <v>22.0716</v>
      </c>
      <c r="E31" s="7">
        <v>7.42</v>
      </c>
      <c r="F31" s="2">
        <v>2</v>
      </c>
      <c r="G31" s="2">
        <v>1</v>
      </c>
      <c r="H31" s="5">
        <f>15 / 2</f>
        <v>7.5</v>
      </c>
    </row>
    <row r="32" spans="1:8" x14ac:dyDescent="0.2">
      <c r="A32" t="s">
        <v>74</v>
      </c>
      <c r="B32">
        <v>2010</v>
      </c>
      <c r="C32">
        <v>4</v>
      </c>
      <c r="D32" s="3">
        <v>22.0382</v>
      </c>
      <c r="E32" s="3">
        <v>1.43</v>
      </c>
      <c r="F32">
        <v>2</v>
      </c>
      <c r="G32">
        <v>-3</v>
      </c>
      <c r="H32" s="6">
        <f>(10/2)</f>
        <v>5</v>
      </c>
    </row>
    <row r="33" spans="1:8" x14ac:dyDescent="0.2">
      <c r="A33" t="s">
        <v>303</v>
      </c>
      <c r="B33">
        <v>2007</v>
      </c>
      <c r="C33">
        <v>4</v>
      </c>
      <c r="D33" s="3">
        <v>21.8932</v>
      </c>
      <c r="E33" s="3">
        <v>0.75</v>
      </c>
      <c r="F33">
        <v>1</v>
      </c>
      <c r="G33">
        <v>9</v>
      </c>
      <c r="H33" s="6">
        <v>12</v>
      </c>
    </row>
    <row r="34" spans="1:8" x14ac:dyDescent="0.2">
      <c r="A34" t="s">
        <v>305</v>
      </c>
      <c r="B34">
        <v>2004</v>
      </c>
      <c r="C34">
        <v>4</v>
      </c>
      <c r="D34" s="3">
        <v>21.840399999999999</v>
      </c>
      <c r="E34" s="3">
        <v>3.83</v>
      </c>
      <c r="F34">
        <v>2</v>
      </c>
      <c r="G34">
        <v>1</v>
      </c>
      <c r="H34" s="6">
        <f>(5/2)</f>
        <v>2.5</v>
      </c>
    </row>
    <row r="35" spans="1:8" x14ac:dyDescent="0.2">
      <c r="A35" t="s">
        <v>27</v>
      </c>
      <c r="B35">
        <v>2002</v>
      </c>
      <c r="C35">
        <v>4</v>
      </c>
      <c r="D35" s="3">
        <v>21.672599999999999</v>
      </c>
      <c r="E35" s="3">
        <v>8.25</v>
      </c>
      <c r="F35">
        <v>2</v>
      </c>
      <c r="G35">
        <v>37</v>
      </c>
      <c r="H35" s="6">
        <f>41 / 2</f>
        <v>20.5</v>
      </c>
    </row>
    <row r="36" spans="1:8" x14ac:dyDescent="0.2">
      <c r="A36" t="s">
        <v>221</v>
      </c>
      <c r="B36">
        <v>2009</v>
      </c>
      <c r="C36">
        <v>4</v>
      </c>
      <c r="D36" s="3">
        <v>21.4146</v>
      </c>
      <c r="E36" s="3">
        <v>3.54</v>
      </c>
      <c r="F36">
        <v>1</v>
      </c>
      <c r="G36">
        <v>11</v>
      </c>
      <c r="H36" s="6">
        <v>13</v>
      </c>
    </row>
    <row r="37" spans="1:8" x14ac:dyDescent="0.2">
      <c r="A37" s="2" t="s">
        <v>36</v>
      </c>
      <c r="B37" s="2">
        <v>2016</v>
      </c>
      <c r="C37" s="2">
        <v>4</v>
      </c>
      <c r="D37" s="7">
        <v>21.066400000000002</v>
      </c>
      <c r="E37" s="7">
        <v>4.54</v>
      </c>
      <c r="F37" s="2">
        <v>2</v>
      </c>
      <c r="G37" s="2">
        <v>17</v>
      </c>
      <c r="H37" s="5">
        <f>30 / 2</f>
        <v>15</v>
      </c>
    </row>
    <row r="38" spans="1:8" x14ac:dyDescent="0.2">
      <c r="A38" t="s">
        <v>384</v>
      </c>
      <c r="B38">
        <v>2002</v>
      </c>
      <c r="C38">
        <v>4</v>
      </c>
      <c r="D38" s="3">
        <v>20.983699999999999</v>
      </c>
      <c r="E38" s="3">
        <v>1.89</v>
      </c>
      <c r="F38">
        <v>0</v>
      </c>
      <c r="G38">
        <v>-4</v>
      </c>
      <c r="H38" s="6">
        <v>0</v>
      </c>
    </row>
    <row r="39" spans="1:8" x14ac:dyDescent="0.2">
      <c r="A39" s="2" t="s">
        <v>23</v>
      </c>
      <c r="B39" s="2">
        <v>2017</v>
      </c>
      <c r="C39" s="2">
        <v>4</v>
      </c>
      <c r="D39" s="7">
        <v>20.91</v>
      </c>
      <c r="E39" s="2">
        <v>5.39</v>
      </c>
      <c r="F39" s="2">
        <v>2</v>
      </c>
      <c r="G39" s="2">
        <v>9</v>
      </c>
      <c r="H39" s="5">
        <f>21/2</f>
        <v>10.5</v>
      </c>
    </row>
    <row r="40" spans="1:8" x14ac:dyDescent="0.2">
      <c r="A40" t="s">
        <v>14</v>
      </c>
      <c r="B40">
        <v>2005</v>
      </c>
      <c r="C40">
        <v>4</v>
      </c>
      <c r="D40" s="3">
        <v>20.826000000000001</v>
      </c>
      <c r="E40" s="3">
        <v>-0.44</v>
      </c>
      <c r="F40">
        <v>0</v>
      </c>
      <c r="G40">
        <v>-3</v>
      </c>
      <c r="H40" s="6">
        <v>0</v>
      </c>
    </row>
    <row r="41" spans="1:8" x14ac:dyDescent="0.2">
      <c r="A41" s="2" t="s">
        <v>826</v>
      </c>
      <c r="B41" s="2">
        <v>2018</v>
      </c>
      <c r="C41" s="2">
        <v>4</v>
      </c>
      <c r="D41" s="7">
        <v>20.63</v>
      </c>
      <c r="E41" s="7">
        <v>-1.75</v>
      </c>
      <c r="F41" s="2"/>
      <c r="G41" s="2"/>
      <c r="H41" s="10"/>
    </row>
    <row r="42" spans="1:8" x14ac:dyDescent="0.2">
      <c r="A42" s="2" t="s">
        <v>1</v>
      </c>
      <c r="B42" s="2">
        <v>2015</v>
      </c>
      <c r="C42" s="2">
        <v>4</v>
      </c>
      <c r="D42" s="7">
        <v>20.434999999999999</v>
      </c>
      <c r="E42" s="7">
        <v>1.33</v>
      </c>
      <c r="F42" s="2">
        <v>3</v>
      </c>
      <c r="G42" s="2">
        <v>19</v>
      </c>
      <c r="H42" s="6">
        <f>25/3</f>
        <v>8.3333333333333339</v>
      </c>
    </row>
    <row r="43" spans="1:8" x14ac:dyDescent="0.2">
      <c r="A43" s="2" t="s">
        <v>15</v>
      </c>
      <c r="B43">
        <v>2013</v>
      </c>
      <c r="C43" s="2">
        <v>4</v>
      </c>
      <c r="D43" s="7">
        <v>20.233699999999999</v>
      </c>
      <c r="E43" s="3">
        <v>0.47</v>
      </c>
      <c r="F43">
        <v>1</v>
      </c>
      <c r="G43">
        <v>3</v>
      </c>
      <c r="H43" s="6">
        <v>20</v>
      </c>
    </row>
    <row r="44" spans="1:8" x14ac:dyDescent="0.2">
      <c r="A44" t="s">
        <v>78</v>
      </c>
      <c r="B44">
        <v>2007</v>
      </c>
      <c r="C44">
        <v>4</v>
      </c>
      <c r="D44" s="3">
        <v>20.1236</v>
      </c>
      <c r="E44" s="3">
        <v>0.12</v>
      </c>
      <c r="F44">
        <v>1</v>
      </c>
      <c r="G44">
        <v>-7</v>
      </c>
      <c r="H44" s="6">
        <v>12</v>
      </c>
    </row>
    <row r="45" spans="1:8" x14ac:dyDescent="0.2">
      <c r="A45" s="2" t="s">
        <v>32</v>
      </c>
      <c r="B45" s="2">
        <v>2018</v>
      </c>
      <c r="C45" s="2">
        <v>4</v>
      </c>
      <c r="D45" s="7">
        <v>20.07</v>
      </c>
      <c r="E45" s="7">
        <v>2.0499999999999998</v>
      </c>
      <c r="F45" s="2">
        <v>0</v>
      </c>
      <c r="G45" s="2">
        <v>-6</v>
      </c>
      <c r="H45" s="6">
        <v>0</v>
      </c>
    </row>
    <row r="46" spans="1:8" x14ac:dyDescent="0.2">
      <c r="A46" t="s">
        <v>305</v>
      </c>
      <c r="B46">
        <v>2009</v>
      </c>
      <c r="C46">
        <v>4</v>
      </c>
      <c r="D46" s="3">
        <v>19.9434</v>
      </c>
      <c r="E46" s="3">
        <v>-3.05</v>
      </c>
      <c r="F46">
        <v>0</v>
      </c>
      <c r="G46">
        <v>-15</v>
      </c>
      <c r="H46" s="6">
        <v>0</v>
      </c>
    </row>
    <row r="47" spans="1:8" x14ac:dyDescent="0.2">
      <c r="A47" t="s">
        <v>5</v>
      </c>
      <c r="B47">
        <v>2002</v>
      </c>
      <c r="C47">
        <v>4</v>
      </c>
      <c r="D47" s="3">
        <v>19.8994</v>
      </c>
      <c r="E47" s="3">
        <v>2.33</v>
      </c>
      <c r="F47">
        <v>1</v>
      </c>
      <c r="G47">
        <v>-11</v>
      </c>
      <c r="H47" s="6">
        <v>5</v>
      </c>
    </row>
    <row r="48" spans="1:8" x14ac:dyDescent="0.2">
      <c r="A48" t="s">
        <v>552</v>
      </c>
      <c r="B48">
        <v>2007</v>
      </c>
      <c r="C48">
        <v>4</v>
      </c>
      <c r="D48" s="3">
        <v>19.895099999999999</v>
      </c>
      <c r="E48" s="3">
        <v>5.83</v>
      </c>
      <c r="F48">
        <v>2</v>
      </c>
      <c r="G48">
        <v>22</v>
      </c>
      <c r="H48" s="6">
        <f>(25/2)</f>
        <v>12.5</v>
      </c>
    </row>
    <row r="49" spans="1:8" x14ac:dyDescent="0.2">
      <c r="A49" s="2" t="s">
        <v>143</v>
      </c>
      <c r="B49" s="2">
        <v>2014</v>
      </c>
      <c r="C49" s="2">
        <v>4</v>
      </c>
      <c r="D49" s="7">
        <v>19.812100000000001</v>
      </c>
      <c r="E49" s="7">
        <v>3.98</v>
      </c>
      <c r="F49" s="2">
        <v>2</v>
      </c>
      <c r="G49" s="2">
        <v>17</v>
      </c>
      <c r="H49" s="6">
        <f>23/2</f>
        <v>11.5</v>
      </c>
    </row>
    <row r="50" spans="1:8" x14ac:dyDescent="0.2">
      <c r="A50" t="s">
        <v>383</v>
      </c>
      <c r="B50">
        <v>2006</v>
      </c>
      <c r="C50">
        <v>4</v>
      </c>
      <c r="D50" s="3">
        <v>19.804600000000001</v>
      </c>
      <c r="E50" s="3">
        <v>4.82</v>
      </c>
      <c r="F50">
        <v>4</v>
      </c>
      <c r="G50">
        <v>21</v>
      </c>
      <c r="H50" s="6">
        <f>(35/4)</f>
        <v>8.75</v>
      </c>
    </row>
    <row r="51" spans="1:8" x14ac:dyDescent="0.2">
      <c r="A51" s="2" t="s">
        <v>45</v>
      </c>
      <c r="B51" s="2">
        <v>2016</v>
      </c>
      <c r="C51" s="2">
        <v>4</v>
      </c>
      <c r="D51" s="7">
        <v>19.638300000000001</v>
      </c>
      <c r="E51" s="7">
        <v>0.84</v>
      </c>
      <c r="F51" s="2">
        <v>0</v>
      </c>
      <c r="G51" s="2">
        <v>-11</v>
      </c>
      <c r="H51" s="5">
        <v>0</v>
      </c>
    </row>
    <row r="52" spans="1:8" x14ac:dyDescent="0.2">
      <c r="A52" s="2" t="s">
        <v>7</v>
      </c>
      <c r="B52" s="2">
        <v>2015</v>
      </c>
      <c r="C52" s="2">
        <v>4</v>
      </c>
      <c r="D52" s="7">
        <v>19.528400000000001</v>
      </c>
      <c r="E52" s="7">
        <v>7.14</v>
      </c>
      <c r="F52" s="2">
        <v>1</v>
      </c>
      <c r="G52" s="2">
        <v>-1</v>
      </c>
      <c r="H52" s="5">
        <v>10</v>
      </c>
    </row>
    <row r="53" spans="1:8" x14ac:dyDescent="0.2">
      <c r="A53" s="2" t="s">
        <v>21</v>
      </c>
      <c r="B53" s="2">
        <v>2018</v>
      </c>
      <c r="C53" s="2">
        <v>4</v>
      </c>
      <c r="D53" s="7">
        <v>19.37</v>
      </c>
      <c r="E53" s="7">
        <v>2.82</v>
      </c>
      <c r="F53" s="2">
        <v>0</v>
      </c>
      <c r="G53" s="2">
        <v>-21</v>
      </c>
      <c r="H53" s="6">
        <v>0</v>
      </c>
    </row>
    <row r="54" spans="1:8" x14ac:dyDescent="0.2">
      <c r="A54" t="s">
        <v>28</v>
      </c>
      <c r="B54">
        <v>2008</v>
      </c>
      <c r="C54">
        <v>4</v>
      </c>
      <c r="D54" s="3">
        <v>19.0596</v>
      </c>
      <c r="E54" s="3">
        <v>1.1399999999999999</v>
      </c>
      <c r="F54">
        <v>1</v>
      </c>
      <c r="G54">
        <v>8</v>
      </c>
      <c r="H54" s="6">
        <v>19</v>
      </c>
    </row>
    <row r="55" spans="1:8" x14ac:dyDescent="0.2">
      <c r="A55" t="s">
        <v>303</v>
      </c>
      <c r="B55">
        <v>2004</v>
      </c>
      <c r="C55">
        <v>4</v>
      </c>
      <c r="D55" s="3">
        <v>18.817900000000002</v>
      </c>
      <c r="E55" s="3">
        <v>3.02</v>
      </c>
      <c r="F55">
        <v>1</v>
      </c>
      <c r="G55">
        <v>1</v>
      </c>
      <c r="H55" s="6">
        <v>3</v>
      </c>
    </row>
    <row r="56" spans="1:8" x14ac:dyDescent="0.2">
      <c r="A56" s="2" t="s">
        <v>1</v>
      </c>
      <c r="B56">
        <v>2012</v>
      </c>
      <c r="C56">
        <v>4</v>
      </c>
      <c r="D56" s="3">
        <v>18.799900000000001</v>
      </c>
      <c r="E56" s="3">
        <v>4.42</v>
      </c>
      <c r="F56">
        <v>4</v>
      </c>
      <c r="G56">
        <v>19</v>
      </c>
      <c r="H56" s="6">
        <f>(27/4)</f>
        <v>6.75</v>
      </c>
    </row>
    <row r="57" spans="1:8" x14ac:dyDescent="0.2">
      <c r="A57" t="s">
        <v>76</v>
      </c>
      <c r="B57">
        <v>2009</v>
      </c>
      <c r="C57">
        <v>4</v>
      </c>
      <c r="D57" s="3">
        <v>18.687899999999999</v>
      </c>
      <c r="E57" s="3">
        <v>9.07</v>
      </c>
      <c r="F57">
        <v>2</v>
      </c>
      <c r="G57">
        <v>24</v>
      </c>
      <c r="H57" s="6">
        <f>(29/2)</f>
        <v>14.5</v>
      </c>
    </row>
    <row r="58" spans="1:8" x14ac:dyDescent="0.2">
      <c r="A58" t="s">
        <v>90</v>
      </c>
      <c r="B58">
        <v>2008</v>
      </c>
      <c r="C58">
        <v>4</v>
      </c>
      <c r="D58" s="3">
        <v>18.622399999999999</v>
      </c>
      <c r="E58" s="3">
        <v>1.75</v>
      </c>
      <c r="F58">
        <v>0</v>
      </c>
      <c r="G58">
        <v>-1</v>
      </c>
      <c r="H58" s="6">
        <v>0</v>
      </c>
    </row>
    <row r="59" spans="1:8" x14ac:dyDescent="0.2">
      <c r="A59" s="2" t="s">
        <v>16</v>
      </c>
      <c r="B59" s="2">
        <v>2013</v>
      </c>
      <c r="C59" s="2">
        <v>4</v>
      </c>
      <c r="D59" s="7">
        <v>18.215399999999999</v>
      </c>
      <c r="E59" s="7">
        <v>0.06</v>
      </c>
      <c r="F59" s="2">
        <v>0</v>
      </c>
      <c r="G59" s="2">
        <v>-2</v>
      </c>
      <c r="H59" s="5">
        <v>0</v>
      </c>
    </row>
    <row r="60" spans="1:8" x14ac:dyDescent="0.2">
      <c r="A60" s="2" t="s">
        <v>13</v>
      </c>
      <c r="B60">
        <v>2012</v>
      </c>
      <c r="C60">
        <v>4</v>
      </c>
      <c r="D60" s="3">
        <v>18.068300000000001</v>
      </c>
      <c r="E60" s="3">
        <v>1.52</v>
      </c>
      <c r="F60">
        <v>0</v>
      </c>
      <c r="G60">
        <v>-5</v>
      </c>
      <c r="H60" s="6">
        <v>0</v>
      </c>
    </row>
    <row r="61" spans="1:8" x14ac:dyDescent="0.2">
      <c r="A61" t="s">
        <v>4</v>
      </c>
      <c r="B61">
        <v>2004</v>
      </c>
      <c r="C61">
        <v>4</v>
      </c>
      <c r="D61" s="3">
        <v>17.868400000000001</v>
      </c>
      <c r="E61" s="3">
        <v>8.4</v>
      </c>
      <c r="F61">
        <v>3</v>
      </c>
      <c r="G61">
        <v>67</v>
      </c>
      <c r="H61" s="6">
        <f>(75/3)</f>
        <v>25</v>
      </c>
    </row>
    <row r="62" spans="1:8" x14ac:dyDescent="0.2">
      <c r="A62" t="s">
        <v>382</v>
      </c>
      <c r="B62">
        <v>2006</v>
      </c>
      <c r="C62">
        <v>4</v>
      </c>
      <c r="D62" s="3">
        <v>17.712</v>
      </c>
      <c r="E62" s="3">
        <v>-3.79</v>
      </c>
      <c r="F62">
        <v>2</v>
      </c>
      <c r="G62">
        <v>20</v>
      </c>
      <c r="H62" s="6">
        <f>(21/2)</f>
        <v>10.5</v>
      </c>
    </row>
    <row r="63" spans="1:8" x14ac:dyDescent="0.2">
      <c r="A63" t="s">
        <v>382</v>
      </c>
      <c r="B63">
        <v>2005</v>
      </c>
      <c r="C63">
        <v>4</v>
      </c>
      <c r="D63" s="3">
        <v>17.589099999999998</v>
      </c>
      <c r="E63" s="3">
        <v>-0.24</v>
      </c>
      <c r="F63">
        <v>1</v>
      </c>
      <c r="G63">
        <v>12</v>
      </c>
      <c r="H63" s="6">
        <v>20</v>
      </c>
    </row>
    <row r="64" spans="1:8" x14ac:dyDescent="0.2">
      <c r="A64" t="s">
        <v>70</v>
      </c>
      <c r="B64">
        <v>2010</v>
      </c>
      <c r="C64">
        <v>4</v>
      </c>
      <c r="D64" s="3">
        <v>17.1876</v>
      </c>
      <c r="E64" s="3">
        <v>4.45</v>
      </c>
      <c r="F64">
        <v>0</v>
      </c>
      <c r="G64">
        <v>-1</v>
      </c>
      <c r="H64" s="6">
        <v>0</v>
      </c>
    </row>
    <row r="65" spans="1:8" x14ac:dyDescent="0.2">
      <c r="A65" s="2" t="s">
        <v>303</v>
      </c>
      <c r="B65" s="2">
        <v>2015</v>
      </c>
      <c r="C65" s="2">
        <v>4</v>
      </c>
      <c r="D65" s="7">
        <v>16.2438</v>
      </c>
      <c r="E65" s="7">
        <v>1.07</v>
      </c>
      <c r="F65" s="2">
        <v>1</v>
      </c>
      <c r="G65" s="2">
        <v>-7</v>
      </c>
      <c r="H65" s="5">
        <v>3</v>
      </c>
    </row>
    <row r="66" spans="1:8" x14ac:dyDescent="0.2">
      <c r="A66" t="s">
        <v>385</v>
      </c>
      <c r="B66">
        <v>2003</v>
      </c>
      <c r="C66">
        <v>4</v>
      </c>
      <c r="D66" s="3">
        <v>15.598800000000001</v>
      </c>
      <c r="E66" s="3">
        <v>7.06</v>
      </c>
      <c r="F66">
        <v>0</v>
      </c>
      <c r="G66">
        <v>-13</v>
      </c>
      <c r="H66" s="6">
        <v>0</v>
      </c>
    </row>
    <row r="67" spans="1:8" x14ac:dyDescent="0.2">
      <c r="A67" t="s">
        <v>459</v>
      </c>
      <c r="B67">
        <v>2003</v>
      </c>
      <c r="C67">
        <v>4</v>
      </c>
      <c r="D67" s="3">
        <v>14.7263</v>
      </c>
      <c r="E67" s="3">
        <v>7.29</v>
      </c>
      <c r="F67">
        <v>1</v>
      </c>
      <c r="G67">
        <v>-3</v>
      </c>
      <c r="H67" s="6">
        <v>8</v>
      </c>
    </row>
    <row r="68" spans="1:8" x14ac:dyDescent="0.2">
      <c r="A68" t="s">
        <v>75</v>
      </c>
      <c r="B68">
        <v>2007</v>
      </c>
      <c r="C68">
        <v>4</v>
      </c>
      <c r="D68" s="3">
        <v>13.9564</v>
      </c>
      <c r="E68" s="3">
        <v>-0.52</v>
      </c>
      <c r="F68">
        <v>1</v>
      </c>
      <c r="G68">
        <v>24</v>
      </c>
      <c r="H68" s="6">
        <v>27</v>
      </c>
    </row>
    <row r="69" spans="1:8" x14ac:dyDescent="0.2">
      <c r="A69" t="s">
        <v>70</v>
      </c>
      <c r="B69">
        <v>2008</v>
      </c>
      <c r="C69">
        <v>4</v>
      </c>
      <c r="D69" s="3">
        <v>13.165100000000001</v>
      </c>
      <c r="E69" s="3">
        <v>1.36</v>
      </c>
      <c r="F69">
        <v>0</v>
      </c>
      <c r="G69">
        <v>-21</v>
      </c>
      <c r="H69" s="6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9"/>
  <sheetViews>
    <sheetView workbookViewId="0">
      <selection activeCell="G4" sqref="G4"/>
    </sheetView>
  </sheetViews>
  <sheetFormatPr baseColWidth="10" defaultRowHeight="16" x14ac:dyDescent="0.2"/>
  <cols>
    <col min="1" max="1" width="14.5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1178</v>
      </c>
      <c r="E1" s="1" t="s">
        <v>1176</v>
      </c>
      <c r="F1" s="1" t="s">
        <v>65</v>
      </c>
      <c r="G1" s="1" t="s">
        <v>91</v>
      </c>
      <c r="H1" s="1" t="s">
        <v>92</v>
      </c>
    </row>
    <row r="2" spans="1:8" x14ac:dyDescent="0.2">
      <c r="A2" s="2" t="s">
        <v>380</v>
      </c>
      <c r="B2" s="2">
        <v>2015</v>
      </c>
      <c r="C2" s="2">
        <v>5</v>
      </c>
      <c r="D2" s="7">
        <v>26.930900000000001</v>
      </c>
      <c r="E2" s="7">
        <v>2.67</v>
      </c>
      <c r="F2" s="2">
        <v>2</v>
      </c>
      <c r="G2" s="2">
        <v>-23</v>
      </c>
      <c r="H2" s="6">
        <f>16/2</f>
        <v>8</v>
      </c>
    </row>
    <row r="3" spans="1:8" x14ac:dyDescent="0.2">
      <c r="A3" s="2" t="s">
        <v>75</v>
      </c>
      <c r="B3" s="2">
        <v>2017</v>
      </c>
      <c r="C3" s="2">
        <v>5</v>
      </c>
      <c r="D3" s="7">
        <v>26.67</v>
      </c>
      <c r="E3" s="2">
        <v>2.76</v>
      </c>
      <c r="F3" s="2">
        <v>1</v>
      </c>
      <c r="G3" s="2">
        <v>-21</v>
      </c>
      <c r="H3" s="5">
        <f>5/1</f>
        <v>5</v>
      </c>
    </row>
    <row r="4" spans="1:8" x14ac:dyDescent="0.2">
      <c r="A4" t="s">
        <v>9</v>
      </c>
      <c r="B4">
        <v>2002</v>
      </c>
      <c r="C4">
        <v>5</v>
      </c>
      <c r="D4" s="3">
        <v>26.531300000000002</v>
      </c>
      <c r="E4" s="3">
        <v>2.1800000000000002</v>
      </c>
      <c r="F4">
        <v>0</v>
      </c>
      <c r="G4">
        <v>-1</v>
      </c>
      <c r="H4" s="6">
        <v>0</v>
      </c>
    </row>
    <row r="5" spans="1:8" x14ac:dyDescent="0.2">
      <c r="A5" t="s">
        <v>10</v>
      </c>
      <c r="B5">
        <v>2005</v>
      </c>
      <c r="C5">
        <v>5</v>
      </c>
      <c r="D5" s="3">
        <v>25.179300000000001</v>
      </c>
      <c r="E5" s="3">
        <v>0.28999999999999998</v>
      </c>
      <c r="F5">
        <v>4</v>
      </c>
      <c r="G5">
        <v>19</v>
      </c>
      <c r="H5" s="6">
        <f>(35/4)</f>
        <v>8.75</v>
      </c>
    </row>
    <row r="6" spans="1:8" x14ac:dyDescent="0.2">
      <c r="A6" s="2" t="s">
        <v>74</v>
      </c>
      <c r="B6" s="2">
        <v>2016</v>
      </c>
      <c r="C6" s="2">
        <v>5</v>
      </c>
      <c r="D6" s="7">
        <v>24.665099999999999</v>
      </c>
      <c r="E6" s="7">
        <v>1.1000000000000001</v>
      </c>
      <c r="F6" s="2">
        <v>0</v>
      </c>
      <c r="G6" s="2">
        <v>-2</v>
      </c>
      <c r="H6" s="5">
        <v>0</v>
      </c>
    </row>
    <row r="7" spans="1:8" x14ac:dyDescent="0.2">
      <c r="A7" s="2" t="s">
        <v>32</v>
      </c>
      <c r="B7">
        <v>2012</v>
      </c>
      <c r="C7">
        <v>5</v>
      </c>
      <c r="D7" s="3">
        <v>23.241</v>
      </c>
      <c r="E7" s="3">
        <v>5.39</v>
      </c>
      <c r="F7">
        <v>0</v>
      </c>
      <c r="G7">
        <v>-3</v>
      </c>
      <c r="H7" s="6">
        <v>0</v>
      </c>
    </row>
    <row r="8" spans="1:8" x14ac:dyDescent="0.2">
      <c r="A8" s="2" t="s">
        <v>36</v>
      </c>
      <c r="B8" s="2">
        <v>2017</v>
      </c>
      <c r="C8" s="2">
        <v>5</v>
      </c>
      <c r="D8" s="7">
        <v>23.11</v>
      </c>
      <c r="E8" s="2">
        <v>-0.21</v>
      </c>
      <c r="F8" s="2">
        <v>1</v>
      </c>
      <c r="G8" s="2">
        <v>7</v>
      </c>
      <c r="H8" s="5">
        <f>11/1</f>
        <v>11</v>
      </c>
    </row>
    <row r="9" spans="1:8" x14ac:dyDescent="0.2">
      <c r="A9" t="s">
        <v>34</v>
      </c>
      <c r="B9">
        <v>2005</v>
      </c>
      <c r="C9">
        <v>5</v>
      </c>
      <c r="D9" s="3">
        <v>23.060199999999998</v>
      </c>
      <c r="E9" s="3">
        <v>2.68</v>
      </c>
      <c r="F9">
        <v>2</v>
      </c>
      <c r="G9">
        <v>18</v>
      </c>
      <c r="H9" s="6">
        <f>(19/2)</f>
        <v>9.5</v>
      </c>
    </row>
    <row r="10" spans="1:8" x14ac:dyDescent="0.2">
      <c r="A10" t="s">
        <v>2</v>
      </c>
      <c r="B10">
        <v>2002</v>
      </c>
      <c r="C10">
        <v>5</v>
      </c>
      <c r="D10" s="3">
        <v>23.030200000000001</v>
      </c>
      <c r="E10" s="3">
        <v>13.51</v>
      </c>
      <c r="F10">
        <v>5</v>
      </c>
      <c r="G10">
        <v>38</v>
      </c>
      <c r="H10" s="6">
        <f>50 / 5</f>
        <v>10</v>
      </c>
    </row>
    <row r="11" spans="1:8" x14ac:dyDescent="0.2">
      <c r="A11" s="2" t="s">
        <v>17</v>
      </c>
      <c r="B11">
        <v>2013</v>
      </c>
      <c r="C11" s="2">
        <v>5</v>
      </c>
      <c r="D11" s="7">
        <v>22.952999999999999</v>
      </c>
      <c r="E11" s="3">
        <v>1.06</v>
      </c>
      <c r="F11">
        <v>0</v>
      </c>
      <c r="G11">
        <v>-11</v>
      </c>
      <c r="H11" s="6">
        <v>0</v>
      </c>
    </row>
    <row r="12" spans="1:8" x14ac:dyDescent="0.2">
      <c r="A12" s="2" t="s">
        <v>2</v>
      </c>
      <c r="B12" s="2">
        <v>2016</v>
      </c>
      <c r="C12" s="2">
        <v>5</v>
      </c>
      <c r="D12" s="7">
        <v>22.775200000000002</v>
      </c>
      <c r="E12" s="7">
        <v>0.14000000000000001</v>
      </c>
      <c r="F12" s="2">
        <v>2</v>
      </c>
      <c r="G12" s="2">
        <v>16</v>
      </c>
      <c r="H12" s="5">
        <f>31 / 2</f>
        <v>15.5</v>
      </c>
    </row>
    <row r="13" spans="1:8" x14ac:dyDescent="0.2">
      <c r="A13" t="s">
        <v>12</v>
      </c>
      <c r="B13">
        <v>2002</v>
      </c>
      <c r="C13">
        <v>5</v>
      </c>
      <c r="D13" s="3">
        <v>22.4481</v>
      </c>
      <c r="E13" s="3">
        <v>0.05</v>
      </c>
      <c r="F13">
        <v>0</v>
      </c>
      <c r="G13">
        <v>-2</v>
      </c>
      <c r="H13" s="6">
        <v>0</v>
      </c>
    </row>
    <row r="14" spans="1:8" x14ac:dyDescent="0.2">
      <c r="A14" t="s">
        <v>387</v>
      </c>
      <c r="B14">
        <v>2003</v>
      </c>
      <c r="C14">
        <v>5</v>
      </c>
      <c r="D14" s="3">
        <v>22.0566</v>
      </c>
      <c r="E14" s="3">
        <v>-0.27</v>
      </c>
      <c r="F14">
        <v>0</v>
      </c>
      <c r="G14">
        <v>-1</v>
      </c>
      <c r="H14" s="6">
        <v>0</v>
      </c>
    </row>
    <row r="15" spans="1:8" x14ac:dyDescent="0.2">
      <c r="A15" t="s">
        <v>17</v>
      </c>
      <c r="B15">
        <v>2003</v>
      </c>
      <c r="C15">
        <v>5</v>
      </c>
      <c r="D15" s="3">
        <v>21.942</v>
      </c>
      <c r="E15" s="3">
        <v>2.12</v>
      </c>
      <c r="F15">
        <v>2</v>
      </c>
      <c r="G15">
        <v>2</v>
      </c>
      <c r="H15" s="6">
        <f>(8/2)</f>
        <v>4</v>
      </c>
    </row>
    <row r="16" spans="1:8" x14ac:dyDescent="0.2">
      <c r="A16" t="s">
        <v>229</v>
      </c>
      <c r="B16">
        <v>2008</v>
      </c>
      <c r="C16">
        <v>5</v>
      </c>
      <c r="D16" s="3">
        <v>21.932600000000001</v>
      </c>
      <c r="E16" s="3">
        <v>2.4</v>
      </c>
      <c r="F16">
        <v>0</v>
      </c>
      <c r="G16">
        <v>-6</v>
      </c>
      <c r="H16" s="6">
        <v>0</v>
      </c>
    </row>
    <row r="17" spans="1:8" x14ac:dyDescent="0.2">
      <c r="A17" s="2" t="s">
        <v>77</v>
      </c>
      <c r="B17" s="2">
        <v>2018</v>
      </c>
      <c r="C17" s="2">
        <v>5</v>
      </c>
      <c r="D17" s="7">
        <v>21.77</v>
      </c>
      <c r="E17" s="7">
        <v>-4.24</v>
      </c>
      <c r="F17" s="2"/>
      <c r="G17" s="2"/>
      <c r="H17" s="10"/>
    </row>
    <row r="18" spans="1:8" x14ac:dyDescent="0.2">
      <c r="A18" t="s">
        <v>461</v>
      </c>
      <c r="B18">
        <v>2008</v>
      </c>
      <c r="C18">
        <v>5</v>
      </c>
      <c r="D18" s="3">
        <v>21.696999999999999</v>
      </c>
      <c r="E18" s="3">
        <v>0.68</v>
      </c>
      <c r="F18">
        <v>0</v>
      </c>
      <c r="G18">
        <v>-2</v>
      </c>
      <c r="H18" s="6">
        <v>0</v>
      </c>
    </row>
    <row r="19" spans="1:8" x14ac:dyDescent="0.2">
      <c r="A19" t="s">
        <v>74</v>
      </c>
      <c r="B19">
        <v>2009</v>
      </c>
      <c r="C19">
        <v>5</v>
      </c>
      <c r="D19" s="3">
        <v>21.4801</v>
      </c>
      <c r="E19" s="3">
        <v>-1.63</v>
      </c>
      <c r="F19">
        <v>2</v>
      </c>
      <c r="G19">
        <v>-5</v>
      </c>
      <c r="H19" s="6">
        <f>(7/2)</f>
        <v>3.5</v>
      </c>
    </row>
    <row r="20" spans="1:8" x14ac:dyDescent="0.2">
      <c r="A20" s="2" t="s">
        <v>5</v>
      </c>
      <c r="B20" s="2">
        <v>2018</v>
      </c>
      <c r="C20" s="2">
        <v>5</v>
      </c>
      <c r="D20" s="7">
        <v>21.11</v>
      </c>
      <c r="E20" s="7">
        <v>0.41</v>
      </c>
      <c r="F20" s="2"/>
      <c r="G20" s="2"/>
      <c r="H20" s="10"/>
    </row>
    <row r="21" spans="1:8" x14ac:dyDescent="0.2">
      <c r="A21" s="2" t="s">
        <v>26</v>
      </c>
      <c r="B21" s="2">
        <v>2017</v>
      </c>
      <c r="C21" s="2">
        <v>5</v>
      </c>
      <c r="D21" s="7">
        <v>21.09</v>
      </c>
      <c r="E21" s="2">
        <v>-3.96</v>
      </c>
      <c r="F21" s="2">
        <v>1</v>
      </c>
      <c r="G21" s="2">
        <v>-10</v>
      </c>
      <c r="H21" s="5">
        <f>2/1</f>
        <v>2</v>
      </c>
    </row>
    <row r="22" spans="1:8" x14ac:dyDescent="0.2">
      <c r="A22" t="s">
        <v>72</v>
      </c>
      <c r="B22">
        <v>2005</v>
      </c>
      <c r="C22">
        <v>5</v>
      </c>
      <c r="D22" s="3">
        <v>20.991900000000001</v>
      </c>
      <c r="E22" s="3">
        <v>1.31</v>
      </c>
      <c r="F22">
        <v>0</v>
      </c>
      <c r="G22">
        <v>-10</v>
      </c>
      <c r="H22" s="6">
        <v>0</v>
      </c>
    </row>
    <row r="23" spans="1:8" x14ac:dyDescent="0.2">
      <c r="A23" t="s">
        <v>28</v>
      </c>
      <c r="B23">
        <v>2006</v>
      </c>
      <c r="C23">
        <v>5</v>
      </c>
      <c r="D23" s="3">
        <v>20.991700000000002</v>
      </c>
      <c r="E23" s="3">
        <v>-2.67</v>
      </c>
      <c r="F23">
        <v>1</v>
      </c>
      <c r="G23">
        <v>9</v>
      </c>
      <c r="H23" s="6">
        <v>15</v>
      </c>
    </row>
    <row r="24" spans="1:8" x14ac:dyDescent="0.2">
      <c r="A24" s="2" t="s">
        <v>304</v>
      </c>
      <c r="B24" s="2">
        <v>2015</v>
      </c>
      <c r="C24" s="2">
        <v>5</v>
      </c>
      <c r="D24" s="7">
        <v>20.8674</v>
      </c>
      <c r="E24" s="7">
        <v>2.2799999999999998</v>
      </c>
      <c r="F24" s="2">
        <v>1</v>
      </c>
      <c r="G24" s="2">
        <v>4</v>
      </c>
      <c r="H24" s="5">
        <v>17</v>
      </c>
    </row>
    <row r="25" spans="1:8" x14ac:dyDescent="0.2">
      <c r="A25" s="2" t="s">
        <v>18</v>
      </c>
      <c r="B25" s="2">
        <v>2014</v>
      </c>
      <c r="C25" s="2">
        <v>5</v>
      </c>
      <c r="D25" s="7">
        <v>20.709499999999998</v>
      </c>
      <c r="E25" s="7">
        <v>3.31</v>
      </c>
      <c r="F25" s="2">
        <v>0</v>
      </c>
      <c r="G25" s="2">
        <v>-2</v>
      </c>
      <c r="H25" s="5">
        <v>0</v>
      </c>
    </row>
    <row r="26" spans="1:8" x14ac:dyDescent="0.2">
      <c r="A26" s="2" t="s">
        <v>303</v>
      </c>
      <c r="B26" s="2">
        <v>2016</v>
      </c>
      <c r="C26" s="2">
        <v>5</v>
      </c>
      <c r="D26" s="7">
        <v>20.703399999999998</v>
      </c>
      <c r="E26" s="7">
        <v>1.74</v>
      </c>
      <c r="F26" s="2">
        <v>2</v>
      </c>
      <c r="G26" s="2">
        <v>2</v>
      </c>
      <c r="H26" s="5">
        <f>18 / 2</f>
        <v>9</v>
      </c>
    </row>
    <row r="27" spans="1:8" x14ac:dyDescent="0.2">
      <c r="A27" t="s">
        <v>35</v>
      </c>
      <c r="B27">
        <v>2010</v>
      </c>
      <c r="C27">
        <v>5</v>
      </c>
      <c r="D27" s="3">
        <v>20.503799999999998</v>
      </c>
      <c r="E27" s="3">
        <v>6</v>
      </c>
      <c r="F27">
        <v>0</v>
      </c>
      <c r="G27">
        <v>-13</v>
      </c>
      <c r="H27" s="6">
        <v>0</v>
      </c>
    </row>
    <row r="28" spans="1:8" x14ac:dyDescent="0.2">
      <c r="A28" t="s">
        <v>23</v>
      </c>
      <c r="B28">
        <v>2007</v>
      </c>
      <c r="C28">
        <v>5</v>
      </c>
      <c r="D28" s="3">
        <v>20.474799999999998</v>
      </c>
      <c r="E28" s="3">
        <v>8.59</v>
      </c>
      <c r="F28">
        <v>2</v>
      </c>
      <c r="G28">
        <v>6</v>
      </c>
      <c r="H28" s="6">
        <f>(14/2)</f>
        <v>7</v>
      </c>
    </row>
    <row r="29" spans="1:8" x14ac:dyDescent="0.2">
      <c r="A29" s="2" t="s">
        <v>66</v>
      </c>
      <c r="B29" s="2">
        <v>2018</v>
      </c>
      <c r="C29" s="2">
        <v>5</v>
      </c>
      <c r="D29" s="7">
        <v>20.41</v>
      </c>
      <c r="E29" s="7">
        <v>5.05</v>
      </c>
      <c r="F29" s="2"/>
      <c r="G29" s="2"/>
      <c r="H29" s="10"/>
    </row>
    <row r="30" spans="1:8" x14ac:dyDescent="0.2">
      <c r="A30" s="2" t="s">
        <v>70</v>
      </c>
      <c r="B30">
        <v>2012</v>
      </c>
      <c r="C30">
        <v>5</v>
      </c>
      <c r="D30" s="3">
        <v>20.331099999999999</v>
      </c>
      <c r="E30" s="3">
        <v>6.03</v>
      </c>
      <c r="F30">
        <v>1</v>
      </c>
      <c r="G30">
        <v>6</v>
      </c>
      <c r="H30" s="6">
        <v>9</v>
      </c>
    </row>
    <row r="31" spans="1:8" x14ac:dyDescent="0.2">
      <c r="A31" s="2" t="s">
        <v>229</v>
      </c>
      <c r="B31" s="2">
        <v>2018</v>
      </c>
      <c r="C31" s="2">
        <v>5</v>
      </c>
      <c r="D31" s="7">
        <v>20.27</v>
      </c>
      <c r="E31" s="7">
        <v>-1.85</v>
      </c>
      <c r="F31" s="2"/>
      <c r="G31" s="2"/>
      <c r="H31" s="10"/>
    </row>
    <row r="32" spans="1:8" x14ac:dyDescent="0.2">
      <c r="A32" t="s">
        <v>10</v>
      </c>
      <c r="B32">
        <v>2008</v>
      </c>
      <c r="C32">
        <v>5</v>
      </c>
      <c r="D32" s="3">
        <v>20.267800000000001</v>
      </c>
      <c r="E32" s="3">
        <v>3.64</v>
      </c>
      <c r="F32">
        <v>2</v>
      </c>
      <c r="G32">
        <v>4</v>
      </c>
      <c r="H32" s="6">
        <f>(22/2)</f>
        <v>11</v>
      </c>
    </row>
    <row r="33" spans="1:8" x14ac:dyDescent="0.2">
      <c r="A33" t="s">
        <v>9</v>
      </c>
      <c r="B33">
        <v>2004</v>
      </c>
      <c r="C33">
        <v>5</v>
      </c>
      <c r="D33" s="3">
        <v>20.0105</v>
      </c>
      <c r="E33" s="3">
        <v>3.79</v>
      </c>
      <c r="F33">
        <v>0</v>
      </c>
      <c r="G33">
        <v>-15</v>
      </c>
      <c r="H33" s="6">
        <v>0</v>
      </c>
    </row>
    <row r="34" spans="1:8" x14ac:dyDescent="0.2">
      <c r="A34" s="2" t="s">
        <v>11</v>
      </c>
      <c r="B34">
        <v>2012</v>
      </c>
      <c r="C34">
        <v>5</v>
      </c>
      <c r="D34" s="3">
        <v>19.924499999999998</v>
      </c>
      <c r="E34" s="3">
        <v>-2.76</v>
      </c>
      <c r="F34">
        <v>1</v>
      </c>
      <c r="G34">
        <v>4</v>
      </c>
      <c r="H34" s="6">
        <v>7</v>
      </c>
    </row>
    <row r="35" spans="1:8" x14ac:dyDescent="0.2">
      <c r="A35" s="2" t="s">
        <v>68</v>
      </c>
      <c r="B35" s="2">
        <v>2016</v>
      </c>
      <c r="C35" s="2">
        <v>5</v>
      </c>
      <c r="D35" s="7">
        <v>19.899999999999999</v>
      </c>
      <c r="E35" s="7">
        <v>1.62</v>
      </c>
      <c r="F35" s="2">
        <v>0</v>
      </c>
      <c r="G35" s="2">
        <v>-4</v>
      </c>
      <c r="H35" s="5">
        <v>0</v>
      </c>
    </row>
    <row r="36" spans="1:8" x14ac:dyDescent="0.2">
      <c r="A36" t="s">
        <v>306</v>
      </c>
      <c r="B36">
        <v>2005</v>
      </c>
      <c r="C36">
        <v>5</v>
      </c>
      <c r="D36" s="3">
        <v>19.8873</v>
      </c>
      <c r="E36" s="3">
        <v>-1.37</v>
      </c>
      <c r="F36">
        <v>1</v>
      </c>
      <c r="G36">
        <v>-10</v>
      </c>
      <c r="H36" s="6">
        <v>12</v>
      </c>
    </row>
    <row r="37" spans="1:8" x14ac:dyDescent="0.2">
      <c r="A37" t="s">
        <v>10</v>
      </c>
      <c r="B37">
        <v>2010</v>
      </c>
      <c r="C37">
        <v>5</v>
      </c>
      <c r="D37" s="3">
        <v>19.858499999999999</v>
      </c>
      <c r="E37" s="3">
        <v>1.47</v>
      </c>
      <c r="F37">
        <v>4</v>
      </c>
      <c r="G37">
        <v>11</v>
      </c>
      <c r="H37" s="6">
        <f>(13/4)</f>
        <v>3.25</v>
      </c>
    </row>
    <row r="38" spans="1:8" x14ac:dyDescent="0.2">
      <c r="A38" t="s">
        <v>222</v>
      </c>
      <c r="B38">
        <v>2010</v>
      </c>
      <c r="C38">
        <v>5</v>
      </c>
      <c r="D38" s="3">
        <v>19.7742</v>
      </c>
      <c r="E38" s="3">
        <v>2.67</v>
      </c>
      <c r="F38">
        <v>1</v>
      </c>
      <c r="G38">
        <v>14</v>
      </c>
      <c r="H38" s="6">
        <v>16</v>
      </c>
    </row>
    <row r="39" spans="1:8" x14ac:dyDescent="0.2">
      <c r="A39" t="s">
        <v>77</v>
      </c>
      <c r="B39">
        <v>2011</v>
      </c>
      <c r="C39">
        <v>5</v>
      </c>
      <c r="D39" s="3">
        <v>19.713000000000001</v>
      </c>
      <c r="E39" s="3">
        <v>8.51</v>
      </c>
      <c r="F39">
        <v>1</v>
      </c>
      <c r="G39">
        <v>0</v>
      </c>
      <c r="H39" s="6">
        <v>8</v>
      </c>
    </row>
    <row r="40" spans="1:8" x14ac:dyDescent="0.2">
      <c r="A40" t="s">
        <v>27</v>
      </c>
      <c r="B40">
        <v>2004</v>
      </c>
      <c r="C40">
        <v>5</v>
      </c>
      <c r="D40" s="3">
        <v>19.629899999999999</v>
      </c>
      <c r="E40" s="3">
        <v>4.32</v>
      </c>
      <c r="F40">
        <v>2</v>
      </c>
      <c r="G40">
        <v>33</v>
      </c>
      <c r="H40" s="6">
        <f>(43/2)</f>
        <v>21.5</v>
      </c>
    </row>
    <row r="41" spans="1:8" x14ac:dyDescent="0.2">
      <c r="A41" t="s">
        <v>23</v>
      </c>
      <c r="B41">
        <v>2010</v>
      </c>
      <c r="C41">
        <v>5</v>
      </c>
      <c r="D41" s="3">
        <v>19.588200000000001</v>
      </c>
      <c r="E41" s="3">
        <v>10.61</v>
      </c>
      <c r="F41">
        <v>5</v>
      </c>
      <c r="G41">
        <v>31</v>
      </c>
      <c r="H41" s="6">
        <f>(33/5)</f>
        <v>6.6</v>
      </c>
    </row>
    <row r="42" spans="1:8" x14ac:dyDescent="0.2">
      <c r="A42" s="2" t="s">
        <v>19</v>
      </c>
      <c r="B42">
        <v>2013</v>
      </c>
      <c r="C42" s="2">
        <v>5</v>
      </c>
      <c r="D42" s="7">
        <v>19.3856</v>
      </c>
      <c r="E42" s="3">
        <v>0.88</v>
      </c>
      <c r="F42">
        <v>0</v>
      </c>
      <c r="G42">
        <v>-13</v>
      </c>
      <c r="H42" s="6">
        <v>0</v>
      </c>
    </row>
    <row r="43" spans="1:8" x14ac:dyDescent="0.2">
      <c r="A43" s="2" t="s">
        <v>18</v>
      </c>
      <c r="B43">
        <v>2013</v>
      </c>
      <c r="C43" s="2">
        <v>5</v>
      </c>
      <c r="D43" s="7">
        <v>19.274799999999999</v>
      </c>
      <c r="E43" s="3">
        <v>2.08</v>
      </c>
      <c r="F43">
        <v>1</v>
      </c>
      <c r="G43">
        <v>21</v>
      </c>
      <c r="H43" s="6">
        <v>46</v>
      </c>
    </row>
    <row r="44" spans="1:8" x14ac:dyDescent="0.2">
      <c r="A44" t="s">
        <v>26</v>
      </c>
      <c r="B44">
        <v>2003</v>
      </c>
      <c r="C44">
        <v>5</v>
      </c>
      <c r="D44" s="3">
        <v>19.222000000000001</v>
      </c>
      <c r="E44" s="3">
        <v>6.69</v>
      </c>
      <c r="F44">
        <v>2</v>
      </c>
      <c r="G44">
        <v>-8</v>
      </c>
      <c r="H44" s="6">
        <f>(9/2)</f>
        <v>4.5</v>
      </c>
    </row>
    <row r="45" spans="1:8" x14ac:dyDescent="0.2">
      <c r="A45" s="2" t="s">
        <v>37</v>
      </c>
      <c r="B45" s="2">
        <v>2014</v>
      </c>
      <c r="C45" s="2">
        <v>5</v>
      </c>
      <c r="D45" s="7">
        <v>19.0731</v>
      </c>
      <c r="E45" s="7">
        <v>0.24</v>
      </c>
      <c r="F45" s="2">
        <v>0</v>
      </c>
      <c r="G45" s="2">
        <v>-4</v>
      </c>
      <c r="H45" s="5">
        <v>0</v>
      </c>
    </row>
    <row r="46" spans="1:8" x14ac:dyDescent="0.2">
      <c r="A46" t="s">
        <v>26</v>
      </c>
      <c r="B46">
        <v>2008</v>
      </c>
      <c r="C46">
        <v>5</v>
      </c>
      <c r="D46" s="3">
        <v>18.771899999999999</v>
      </c>
      <c r="E46" s="3">
        <v>-2.82</v>
      </c>
      <c r="F46">
        <v>1</v>
      </c>
      <c r="G46">
        <v>-2</v>
      </c>
      <c r="H46" s="6">
        <v>18</v>
      </c>
    </row>
    <row r="47" spans="1:8" x14ac:dyDescent="0.2">
      <c r="A47" s="2" t="s">
        <v>77</v>
      </c>
      <c r="B47" s="2">
        <v>2015</v>
      </c>
      <c r="C47" s="2">
        <v>5</v>
      </c>
      <c r="D47" s="7">
        <v>18.726600000000001</v>
      </c>
      <c r="E47" s="7">
        <v>-0.33</v>
      </c>
      <c r="F47" s="2">
        <v>2</v>
      </c>
      <c r="G47" s="2">
        <v>12</v>
      </c>
      <c r="H47" s="6">
        <f>18/2</f>
        <v>9</v>
      </c>
    </row>
    <row r="48" spans="1:8" x14ac:dyDescent="0.2">
      <c r="A48" t="s">
        <v>27</v>
      </c>
      <c r="B48">
        <v>2009</v>
      </c>
      <c r="C48">
        <v>5</v>
      </c>
      <c r="D48" s="3">
        <v>18.704499999999999</v>
      </c>
      <c r="E48" s="3">
        <v>0.21</v>
      </c>
      <c r="F48">
        <v>0</v>
      </c>
      <c r="G48">
        <v>-4</v>
      </c>
      <c r="H48" s="6">
        <v>0</v>
      </c>
    </row>
    <row r="49" spans="1:8" x14ac:dyDescent="0.2">
      <c r="A49" t="s">
        <v>380</v>
      </c>
      <c r="B49">
        <v>2009</v>
      </c>
      <c r="C49">
        <v>5</v>
      </c>
      <c r="D49" s="3">
        <v>18.638200000000001</v>
      </c>
      <c r="E49" s="3">
        <v>7.44</v>
      </c>
      <c r="F49">
        <v>0</v>
      </c>
      <c r="G49">
        <v>-13</v>
      </c>
      <c r="H49" s="6">
        <v>0</v>
      </c>
    </row>
    <row r="50" spans="1:8" x14ac:dyDescent="0.2">
      <c r="A50" t="s">
        <v>21</v>
      </c>
      <c r="B50">
        <v>2011</v>
      </c>
      <c r="C50">
        <v>5</v>
      </c>
      <c r="D50" s="3">
        <v>18.459499999999998</v>
      </c>
      <c r="E50" s="3">
        <v>2.27</v>
      </c>
      <c r="F50">
        <v>3</v>
      </c>
      <c r="G50">
        <v>17</v>
      </c>
      <c r="H50" s="6">
        <f>(19/3)</f>
        <v>6.333333333333333</v>
      </c>
    </row>
    <row r="51" spans="1:8" x14ac:dyDescent="0.2">
      <c r="A51" t="s">
        <v>221</v>
      </c>
      <c r="B51">
        <v>2006</v>
      </c>
      <c r="C51">
        <v>5</v>
      </c>
      <c r="D51" s="3">
        <v>18.3993</v>
      </c>
      <c r="E51" s="3">
        <v>-2.56</v>
      </c>
      <c r="F51">
        <v>2</v>
      </c>
      <c r="G51">
        <v>11</v>
      </c>
      <c r="H51" s="6">
        <f>(17/2)</f>
        <v>8.5</v>
      </c>
    </row>
    <row r="52" spans="1:8" x14ac:dyDescent="0.2">
      <c r="A52" s="2" t="s">
        <v>38</v>
      </c>
      <c r="B52" s="2">
        <v>2014</v>
      </c>
      <c r="C52" s="2">
        <v>5</v>
      </c>
      <c r="D52" s="7">
        <v>18.321200000000001</v>
      </c>
      <c r="E52" s="7">
        <v>3.09</v>
      </c>
      <c r="F52" s="2">
        <v>0</v>
      </c>
      <c r="G52" s="2">
        <v>-5</v>
      </c>
      <c r="H52" s="5">
        <v>0</v>
      </c>
    </row>
    <row r="53" spans="1:8" x14ac:dyDescent="0.2">
      <c r="A53" t="s">
        <v>754</v>
      </c>
      <c r="B53">
        <v>2004</v>
      </c>
      <c r="C53">
        <v>5</v>
      </c>
      <c r="D53" s="3">
        <v>18.320799999999998</v>
      </c>
      <c r="E53" s="3">
        <v>5.81</v>
      </c>
      <c r="F53">
        <v>0</v>
      </c>
      <c r="G53">
        <v>-8</v>
      </c>
      <c r="H53" s="6">
        <v>0</v>
      </c>
    </row>
    <row r="54" spans="1:8" x14ac:dyDescent="0.2">
      <c r="A54" t="s">
        <v>90</v>
      </c>
      <c r="B54">
        <v>2003</v>
      </c>
      <c r="C54">
        <v>5</v>
      </c>
      <c r="D54" s="3">
        <v>17.896999999999998</v>
      </c>
      <c r="E54" s="3">
        <v>-0.28000000000000003</v>
      </c>
      <c r="F54">
        <v>2</v>
      </c>
      <c r="G54">
        <v>12</v>
      </c>
      <c r="H54" s="6">
        <f>(16/2)</f>
        <v>8</v>
      </c>
    </row>
    <row r="55" spans="1:8" x14ac:dyDescent="0.2">
      <c r="A55" t="s">
        <v>537</v>
      </c>
      <c r="B55">
        <v>2007</v>
      </c>
      <c r="C55">
        <v>5</v>
      </c>
      <c r="D55" s="3">
        <v>17.543600000000001</v>
      </c>
      <c r="E55" s="3">
        <v>1.45</v>
      </c>
      <c r="F55">
        <v>1</v>
      </c>
      <c r="G55">
        <v>-13</v>
      </c>
      <c r="H55" s="6">
        <v>2</v>
      </c>
    </row>
    <row r="56" spans="1:8" x14ac:dyDescent="0.2">
      <c r="A56" s="2" t="s">
        <v>20</v>
      </c>
      <c r="B56">
        <v>2013</v>
      </c>
      <c r="C56" s="2">
        <v>5</v>
      </c>
      <c r="D56" s="7">
        <v>17.2027</v>
      </c>
      <c r="E56" s="3">
        <v>2.21</v>
      </c>
      <c r="F56">
        <v>0</v>
      </c>
      <c r="G56">
        <v>-3</v>
      </c>
      <c r="H56" s="6">
        <v>0</v>
      </c>
    </row>
    <row r="57" spans="1:8" x14ac:dyDescent="0.2">
      <c r="A57" t="s">
        <v>16</v>
      </c>
      <c r="B57">
        <v>2011</v>
      </c>
      <c r="C57">
        <v>5</v>
      </c>
      <c r="D57" s="3">
        <v>17.0915</v>
      </c>
      <c r="E57" s="3">
        <v>3.34</v>
      </c>
      <c r="F57">
        <v>1</v>
      </c>
      <c r="G57">
        <v>0</v>
      </c>
      <c r="H57" s="6">
        <v>5</v>
      </c>
    </row>
    <row r="58" spans="1:8" x14ac:dyDescent="0.2">
      <c r="A58" s="2" t="s">
        <v>462</v>
      </c>
      <c r="B58" s="2">
        <v>2015</v>
      </c>
      <c r="C58" s="2">
        <v>5</v>
      </c>
      <c r="D58" s="7">
        <v>17.07</v>
      </c>
      <c r="E58" s="7">
        <v>0.26</v>
      </c>
      <c r="F58" s="2">
        <v>1</v>
      </c>
      <c r="G58" s="2">
        <v>-6</v>
      </c>
      <c r="H58" s="5">
        <v>3</v>
      </c>
    </row>
    <row r="59" spans="1:8" x14ac:dyDescent="0.2">
      <c r="A59" t="s">
        <v>70</v>
      </c>
      <c r="B59">
        <v>2011</v>
      </c>
      <c r="C59">
        <v>5</v>
      </c>
      <c r="D59" s="3">
        <v>17.052199999999999</v>
      </c>
      <c r="E59" s="3">
        <v>5.12</v>
      </c>
      <c r="F59">
        <v>0</v>
      </c>
      <c r="G59">
        <v>-3</v>
      </c>
      <c r="H59" s="6">
        <v>0</v>
      </c>
    </row>
    <row r="60" spans="1:8" x14ac:dyDescent="0.2">
      <c r="A60" s="2" t="s">
        <v>40</v>
      </c>
      <c r="B60" s="2">
        <v>2017</v>
      </c>
      <c r="C60" s="2">
        <v>5</v>
      </c>
      <c r="D60" s="7">
        <v>16.59</v>
      </c>
      <c r="E60" s="2">
        <v>-1.37</v>
      </c>
      <c r="F60" s="2">
        <v>0</v>
      </c>
      <c r="G60" s="2">
        <v>-9</v>
      </c>
      <c r="H60" s="5">
        <v>0</v>
      </c>
    </row>
    <row r="61" spans="1:8" x14ac:dyDescent="0.2">
      <c r="A61" t="s">
        <v>225</v>
      </c>
      <c r="B61">
        <v>2007</v>
      </c>
      <c r="C61">
        <v>5</v>
      </c>
      <c r="D61" s="3">
        <v>16.177900000000001</v>
      </c>
      <c r="E61" s="3">
        <v>4.8600000000000003</v>
      </c>
      <c r="F61">
        <v>2</v>
      </c>
      <c r="G61">
        <v>37</v>
      </c>
      <c r="H61" s="6">
        <f>(38/2)</f>
        <v>19</v>
      </c>
    </row>
    <row r="62" spans="1:8" x14ac:dyDescent="0.2">
      <c r="A62" t="s">
        <v>8</v>
      </c>
      <c r="B62">
        <v>2002</v>
      </c>
      <c r="C62">
        <v>5</v>
      </c>
      <c r="D62" s="3">
        <v>15.950900000000001</v>
      </c>
      <c r="E62" s="3">
        <v>-2.52</v>
      </c>
      <c r="F62">
        <v>0</v>
      </c>
      <c r="G62">
        <v>-13</v>
      </c>
      <c r="H62" s="6">
        <v>0</v>
      </c>
    </row>
    <row r="63" spans="1:8" x14ac:dyDescent="0.2">
      <c r="A63" t="s">
        <v>538</v>
      </c>
      <c r="B63">
        <v>2006</v>
      </c>
      <c r="C63">
        <v>5</v>
      </c>
      <c r="D63" s="3">
        <v>15.8369</v>
      </c>
      <c r="E63" s="3">
        <v>4.05</v>
      </c>
      <c r="F63">
        <v>0</v>
      </c>
      <c r="G63">
        <v>-8</v>
      </c>
      <c r="H63" s="6">
        <v>0</v>
      </c>
    </row>
    <row r="64" spans="1:8" x14ac:dyDescent="0.2">
      <c r="A64" s="2" t="s">
        <v>15</v>
      </c>
      <c r="B64" s="2">
        <v>2014</v>
      </c>
      <c r="C64" s="2">
        <v>5</v>
      </c>
      <c r="D64" s="7">
        <v>15.799200000000001</v>
      </c>
      <c r="E64" s="7">
        <v>-0.09</v>
      </c>
      <c r="F64" s="2">
        <v>1</v>
      </c>
      <c r="G64" s="2">
        <v>-12</v>
      </c>
      <c r="H64" s="5">
        <v>3</v>
      </c>
    </row>
    <row r="65" spans="1:8" x14ac:dyDescent="0.2">
      <c r="A65" t="s">
        <v>69</v>
      </c>
      <c r="B65">
        <v>2009</v>
      </c>
      <c r="C65">
        <v>5</v>
      </c>
      <c r="D65" s="3">
        <v>15.729900000000001</v>
      </c>
      <c r="E65" s="3">
        <v>1.64</v>
      </c>
      <c r="F65">
        <v>0</v>
      </c>
      <c r="G65">
        <v>-2</v>
      </c>
      <c r="H65" s="6">
        <v>0</v>
      </c>
    </row>
    <row r="66" spans="1:8" x14ac:dyDescent="0.2">
      <c r="A66" s="2" t="s">
        <v>35</v>
      </c>
      <c r="B66">
        <v>2012</v>
      </c>
      <c r="C66">
        <v>5</v>
      </c>
      <c r="D66" s="3">
        <v>15.5182</v>
      </c>
      <c r="E66" s="3">
        <v>5.6</v>
      </c>
      <c r="F66">
        <v>0</v>
      </c>
      <c r="G66">
        <v>-14</v>
      </c>
      <c r="H66" s="6">
        <v>0</v>
      </c>
    </row>
    <row r="67" spans="1:8" x14ac:dyDescent="0.2">
      <c r="A67" t="s">
        <v>14</v>
      </c>
      <c r="B67">
        <v>2004</v>
      </c>
      <c r="C67">
        <v>5</v>
      </c>
      <c r="D67" s="3">
        <v>15.3156</v>
      </c>
      <c r="E67" s="3">
        <v>-0.26</v>
      </c>
      <c r="F67">
        <v>2</v>
      </c>
      <c r="G67">
        <v>-2</v>
      </c>
      <c r="H67" s="6">
        <f>(7/2)</f>
        <v>3.5</v>
      </c>
    </row>
    <row r="68" spans="1:8" x14ac:dyDescent="0.2">
      <c r="A68" t="s">
        <v>384</v>
      </c>
      <c r="B68">
        <v>2007</v>
      </c>
      <c r="C68">
        <v>5</v>
      </c>
      <c r="D68" s="3">
        <v>14.0654</v>
      </c>
      <c r="E68" s="3">
        <v>-2.09</v>
      </c>
      <c r="F68">
        <v>2</v>
      </c>
      <c r="G68">
        <v>26</v>
      </c>
      <c r="H68" s="6">
        <f>(36/2)</f>
        <v>18</v>
      </c>
    </row>
    <row r="69" spans="1:8" x14ac:dyDescent="0.2">
      <c r="A69" t="s">
        <v>14</v>
      </c>
      <c r="B69">
        <v>2006</v>
      </c>
      <c r="C69">
        <v>5</v>
      </c>
      <c r="D69" s="3">
        <v>12.992699999999999</v>
      </c>
      <c r="E69" s="3">
        <v>0.72</v>
      </c>
      <c r="F69">
        <v>0</v>
      </c>
      <c r="G69">
        <v>-8</v>
      </c>
      <c r="H69" s="6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69"/>
  <sheetViews>
    <sheetView topLeftCell="A23" workbookViewId="0">
      <selection activeCell="A28" sqref="A28:IV28"/>
    </sheetView>
  </sheetViews>
  <sheetFormatPr baseColWidth="10" defaultRowHeight="16" x14ac:dyDescent="0.2"/>
  <cols>
    <col min="1" max="1" width="14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2.83203125" bestFit="1" customWidth="1"/>
    <col min="8" max="8" width="13.332031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1178</v>
      </c>
      <c r="E1" s="1" t="s">
        <v>1176</v>
      </c>
      <c r="F1" s="1" t="s">
        <v>65</v>
      </c>
      <c r="G1" s="1" t="s">
        <v>91</v>
      </c>
      <c r="H1" s="1" t="s">
        <v>92</v>
      </c>
    </row>
    <row r="2" spans="1:8" x14ac:dyDescent="0.2">
      <c r="A2" s="2" t="s">
        <v>966</v>
      </c>
      <c r="B2" s="2">
        <v>2017</v>
      </c>
      <c r="C2" s="2">
        <v>6</v>
      </c>
      <c r="D2" s="7">
        <v>25.27</v>
      </c>
      <c r="E2" s="2">
        <v>-1.21</v>
      </c>
      <c r="F2" s="2">
        <v>0</v>
      </c>
      <c r="G2" s="2">
        <v>-1</v>
      </c>
      <c r="H2" s="5">
        <v>0</v>
      </c>
    </row>
    <row r="3" spans="1:8" x14ac:dyDescent="0.2">
      <c r="A3" t="s">
        <v>24</v>
      </c>
      <c r="B3">
        <v>2009</v>
      </c>
      <c r="C3">
        <v>6</v>
      </c>
      <c r="D3" s="3">
        <v>24.638000000000002</v>
      </c>
      <c r="E3" s="3">
        <v>0.71</v>
      </c>
      <c r="F3">
        <v>1</v>
      </c>
      <c r="G3">
        <v>-19</v>
      </c>
      <c r="H3" s="6">
        <v>1</v>
      </c>
    </row>
    <row r="4" spans="1:8" x14ac:dyDescent="0.2">
      <c r="A4" t="s">
        <v>77</v>
      </c>
      <c r="B4">
        <v>2009</v>
      </c>
      <c r="C4">
        <v>6</v>
      </c>
      <c r="D4" s="3">
        <v>24.4513</v>
      </c>
      <c r="E4" s="3">
        <v>3.02</v>
      </c>
      <c r="F4">
        <v>0</v>
      </c>
      <c r="G4">
        <v>-8</v>
      </c>
      <c r="H4" s="6">
        <v>0</v>
      </c>
    </row>
    <row r="5" spans="1:8" x14ac:dyDescent="0.2">
      <c r="A5" t="s">
        <v>17</v>
      </c>
      <c r="B5">
        <v>2004</v>
      </c>
      <c r="C5">
        <v>6</v>
      </c>
      <c r="D5" s="3">
        <v>23.162600000000001</v>
      </c>
      <c r="E5" s="3">
        <v>5.88</v>
      </c>
      <c r="F5">
        <v>1</v>
      </c>
      <c r="G5">
        <v>8</v>
      </c>
      <c r="H5" s="6">
        <v>12</v>
      </c>
    </row>
    <row r="6" spans="1:8" x14ac:dyDescent="0.2">
      <c r="A6" t="s">
        <v>6</v>
      </c>
      <c r="B6">
        <v>2007</v>
      </c>
      <c r="C6">
        <v>6</v>
      </c>
      <c r="D6" s="3">
        <v>23.1007</v>
      </c>
      <c r="E6" s="3">
        <v>7.57</v>
      </c>
      <c r="F6">
        <v>0</v>
      </c>
      <c r="G6">
        <v>-2</v>
      </c>
      <c r="H6" s="6">
        <v>0</v>
      </c>
    </row>
    <row r="7" spans="1:8" x14ac:dyDescent="0.2">
      <c r="A7" t="s">
        <v>381</v>
      </c>
      <c r="B7">
        <v>2009</v>
      </c>
      <c r="C7">
        <v>6</v>
      </c>
      <c r="D7" s="3">
        <v>22.9221</v>
      </c>
      <c r="E7" s="3">
        <v>1.18</v>
      </c>
      <c r="F7">
        <v>1</v>
      </c>
      <c r="G7">
        <v>-2</v>
      </c>
      <c r="H7" s="6">
        <v>9</v>
      </c>
    </row>
    <row r="8" spans="1:8" x14ac:dyDescent="0.2">
      <c r="A8" t="s">
        <v>29</v>
      </c>
      <c r="B8">
        <v>2004</v>
      </c>
      <c r="C8">
        <v>6</v>
      </c>
      <c r="D8" s="3">
        <v>22.479800000000001</v>
      </c>
      <c r="E8" s="3">
        <v>5.5</v>
      </c>
      <c r="F8">
        <v>1</v>
      </c>
      <c r="G8">
        <v>8</v>
      </c>
      <c r="H8" s="6">
        <v>11</v>
      </c>
    </row>
    <row r="9" spans="1:8" x14ac:dyDescent="0.2">
      <c r="A9" s="2" t="s">
        <v>37</v>
      </c>
      <c r="B9" s="2">
        <v>2017</v>
      </c>
      <c r="C9" s="2">
        <v>6</v>
      </c>
      <c r="D9" s="7">
        <v>22.32</v>
      </c>
      <c r="E9" s="2">
        <v>-0.19</v>
      </c>
      <c r="F9" s="2">
        <v>1</v>
      </c>
      <c r="G9" s="2">
        <v>2</v>
      </c>
      <c r="H9" s="5">
        <f>14/1</f>
        <v>14</v>
      </c>
    </row>
    <row r="10" spans="1:8" x14ac:dyDescent="0.2">
      <c r="A10" s="2" t="s">
        <v>21</v>
      </c>
      <c r="B10" s="2">
        <v>2016</v>
      </c>
      <c r="C10" s="2">
        <v>6</v>
      </c>
      <c r="D10" s="7">
        <v>21.850300000000001</v>
      </c>
      <c r="E10" s="7">
        <v>0.13</v>
      </c>
      <c r="F10" s="2">
        <v>0</v>
      </c>
      <c r="G10" s="2">
        <v>-10</v>
      </c>
      <c r="H10" s="5">
        <v>0</v>
      </c>
    </row>
    <row r="11" spans="1:8" x14ac:dyDescent="0.2">
      <c r="A11" s="2" t="s">
        <v>5</v>
      </c>
      <c r="B11" s="2">
        <v>2014</v>
      </c>
      <c r="C11" s="2">
        <v>6</v>
      </c>
      <c r="D11" s="7">
        <v>21.695</v>
      </c>
      <c r="E11" s="7">
        <v>1.37</v>
      </c>
      <c r="F11" s="2">
        <v>0</v>
      </c>
      <c r="G11" s="2">
        <v>-1</v>
      </c>
      <c r="H11" s="5">
        <v>0</v>
      </c>
    </row>
    <row r="12" spans="1:8" x14ac:dyDescent="0.2">
      <c r="A12" t="s">
        <v>12</v>
      </c>
      <c r="B12">
        <v>2008</v>
      </c>
      <c r="C12">
        <v>6</v>
      </c>
      <c r="D12" s="3">
        <v>21.435600000000001</v>
      </c>
      <c r="E12" s="3">
        <v>-1.66</v>
      </c>
      <c r="F12">
        <v>1</v>
      </c>
      <c r="G12">
        <v>7</v>
      </c>
      <c r="H12" s="6">
        <v>8</v>
      </c>
    </row>
    <row r="13" spans="1:8" x14ac:dyDescent="0.2">
      <c r="A13" t="s">
        <v>303</v>
      </c>
      <c r="B13">
        <v>2003</v>
      </c>
      <c r="C13">
        <v>6</v>
      </c>
      <c r="D13" s="3">
        <v>21.107800000000001</v>
      </c>
      <c r="E13" s="3">
        <v>-1.23</v>
      </c>
      <c r="F13">
        <v>2</v>
      </c>
      <c r="G13">
        <v>13</v>
      </c>
      <c r="H13" s="6">
        <f>(15/2)</f>
        <v>7.5</v>
      </c>
    </row>
    <row r="14" spans="1:8" x14ac:dyDescent="0.2">
      <c r="A14" s="2" t="s">
        <v>310</v>
      </c>
      <c r="B14" s="2">
        <v>2018</v>
      </c>
      <c r="C14" s="2">
        <v>6</v>
      </c>
      <c r="D14" s="7">
        <v>20.54</v>
      </c>
      <c r="E14" s="7">
        <v>-2.71</v>
      </c>
      <c r="F14" s="2"/>
      <c r="G14" s="2"/>
      <c r="H14" s="10"/>
    </row>
    <row r="15" spans="1:8" x14ac:dyDescent="0.2">
      <c r="A15" s="2" t="s">
        <v>21</v>
      </c>
      <c r="B15">
        <v>2013</v>
      </c>
      <c r="C15" s="2">
        <v>6</v>
      </c>
      <c r="D15" s="7">
        <v>20.510200000000001</v>
      </c>
      <c r="E15" s="3">
        <v>3.78</v>
      </c>
      <c r="F15">
        <v>2</v>
      </c>
      <c r="G15">
        <v>37</v>
      </c>
      <c r="H15" s="6">
        <f>(40/2)</f>
        <v>20</v>
      </c>
    </row>
    <row r="16" spans="1:8" x14ac:dyDescent="0.2">
      <c r="A16" t="s">
        <v>12</v>
      </c>
      <c r="B16">
        <v>2009</v>
      </c>
      <c r="C16">
        <v>6</v>
      </c>
      <c r="D16" s="3">
        <v>20.465699999999998</v>
      </c>
      <c r="E16" s="3">
        <v>-1.34</v>
      </c>
      <c r="F16">
        <v>1</v>
      </c>
      <c r="G16">
        <v>-3</v>
      </c>
      <c r="H16" s="6">
        <v>1</v>
      </c>
    </row>
    <row r="17" spans="1:8" x14ac:dyDescent="0.2">
      <c r="A17" t="s">
        <v>26</v>
      </c>
      <c r="B17">
        <v>2007</v>
      </c>
      <c r="C17">
        <v>6</v>
      </c>
      <c r="D17" s="3">
        <v>20.302399999999999</v>
      </c>
      <c r="E17" s="3">
        <v>-8.1</v>
      </c>
      <c r="F17">
        <v>0</v>
      </c>
      <c r="G17">
        <v>-10</v>
      </c>
      <c r="H17" s="6">
        <v>0</v>
      </c>
    </row>
    <row r="18" spans="1:8" x14ac:dyDescent="0.2">
      <c r="A18" t="s">
        <v>17</v>
      </c>
      <c r="B18">
        <v>2005</v>
      </c>
      <c r="C18">
        <v>6</v>
      </c>
      <c r="D18" s="3">
        <v>20.210999999999999</v>
      </c>
      <c r="E18" s="3">
        <v>3.47</v>
      </c>
      <c r="F18">
        <v>3</v>
      </c>
      <c r="G18">
        <v>17</v>
      </c>
      <c r="H18" s="6">
        <f>(23/3)</f>
        <v>7.666666666666667</v>
      </c>
    </row>
    <row r="19" spans="1:8" x14ac:dyDescent="0.2">
      <c r="A19" t="s">
        <v>12</v>
      </c>
      <c r="B19">
        <v>2010</v>
      </c>
      <c r="C19">
        <v>6</v>
      </c>
      <c r="D19" s="3">
        <v>20.110399999999998</v>
      </c>
      <c r="E19" s="3">
        <v>-2.17</v>
      </c>
      <c r="F19">
        <v>0</v>
      </c>
      <c r="G19">
        <v>-2</v>
      </c>
      <c r="H19" s="6">
        <v>0</v>
      </c>
    </row>
    <row r="20" spans="1:8" x14ac:dyDescent="0.2">
      <c r="A20" t="s">
        <v>3</v>
      </c>
      <c r="B20">
        <v>2002</v>
      </c>
      <c r="C20">
        <v>6</v>
      </c>
      <c r="D20" s="3">
        <v>19.8308</v>
      </c>
      <c r="E20" s="3">
        <v>3.32</v>
      </c>
      <c r="F20">
        <v>0</v>
      </c>
      <c r="G20">
        <v>-7</v>
      </c>
      <c r="H20" s="6">
        <v>0</v>
      </c>
    </row>
    <row r="21" spans="1:8" x14ac:dyDescent="0.2">
      <c r="A21" t="s">
        <v>380</v>
      </c>
      <c r="B21">
        <v>2005</v>
      </c>
      <c r="C21">
        <v>6</v>
      </c>
      <c r="D21" s="3">
        <v>19.7377</v>
      </c>
      <c r="E21" s="3">
        <v>-1.29</v>
      </c>
      <c r="F21">
        <v>2</v>
      </c>
      <c r="G21">
        <v>5</v>
      </c>
      <c r="H21" s="6">
        <f>(15/2)</f>
        <v>7.5</v>
      </c>
    </row>
    <row r="22" spans="1:8" x14ac:dyDescent="0.2">
      <c r="A22" s="2" t="s">
        <v>23</v>
      </c>
      <c r="B22" s="2">
        <v>2015</v>
      </c>
      <c r="C22" s="2">
        <v>6</v>
      </c>
      <c r="D22" s="7">
        <v>19.620799999999999</v>
      </c>
      <c r="E22" s="7">
        <v>2.77</v>
      </c>
      <c r="F22" s="2">
        <v>1</v>
      </c>
      <c r="G22" s="2">
        <v>5</v>
      </c>
      <c r="H22" s="5">
        <v>8</v>
      </c>
    </row>
    <row r="23" spans="1:8" x14ac:dyDescent="0.2">
      <c r="A23" s="2" t="s">
        <v>25</v>
      </c>
      <c r="B23" s="2">
        <v>2017</v>
      </c>
      <c r="C23" s="2">
        <v>6</v>
      </c>
      <c r="D23" s="7">
        <v>19.59</v>
      </c>
      <c r="E23" s="2">
        <v>-1.25</v>
      </c>
      <c r="F23" s="2">
        <v>0</v>
      </c>
      <c r="G23" s="2">
        <v>-12</v>
      </c>
      <c r="H23" s="5">
        <v>0</v>
      </c>
    </row>
    <row r="24" spans="1:8" x14ac:dyDescent="0.2">
      <c r="A24" t="s">
        <v>76</v>
      </c>
      <c r="B24">
        <v>2010</v>
      </c>
      <c r="C24">
        <v>6</v>
      </c>
      <c r="D24" s="3">
        <v>19.4847</v>
      </c>
      <c r="E24" s="3">
        <v>8.36</v>
      </c>
      <c r="F24">
        <v>2</v>
      </c>
      <c r="G24">
        <v>9</v>
      </c>
      <c r="H24" s="6">
        <f>(14/2)</f>
        <v>7</v>
      </c>
    </row>
    <row r="25" spans="1:8" x14ac:dyDescent="0.2">
      <c r="A25" t="s">
        <v>384</v>
      </c>
      <c r="B25">
        <v>2008</v>
      </c>
      <c r="C25">
        <v>6</v>
      </c>
      <c r="D25" s="3">
        <v>19.4818</v>
      </c>
      <c r="E25" s="3">
        <v>2.2400000000000002</v>
      </c>
      <c r="F25">
        <v>0</v>
      </c>
      <c r="G25">
        <v>-13</v>
      </c>
      <c r="H25" s="6">
        <v>0</v>
      </c>
    </row>
    <row r="26" spans="1:8" x14ac:dyDescent="0.2">
      <c r="A26" t="s">
        <v>37</v>
      </c>
      <c r="B26">
        <v>2011</v>
      </c>
      <c r="C26">
        <v>6</v>
      </c>
      <c r="D26" s="3">
        <v>19.220600000000001</v>
      </c>
      <c r="E26" s="3">
        <v>-5.93</v>
      </c>
      <c r="F26">
        <v>1</v>
      </c>
      <c r="G26">
        <v>4</v>
      </c>
      <c r="H26" s="6">
        <v>15</v>
      </c>
    </row>
    <row r="27" spans="1:8" x14ac:dyDescent="0.2">
      <c r="A27" t="s">
        <v>1</v>
      </c>
      <c r="B27">
        <v>2007</v>
      </c>
      <c r="C27">
        <v>6</v>
      </c>
      <c r="D27" s="3">
        <v>19.0092</v>
      </c>
      <c r="E27" s="3">
        <v>1.34</v>
      </c>
      <c r="F27">
        <v>1</v>
      </c>
      <c r="G27">
        <v>17</v>
      </c>
      <c r="H27" s="6">
        <v>20</v>
      </c>
    </row>
    <row r="28" spans="1:8" x14ac:dyDescent="0.2">
      <c r="A28" s="2" t="s">
        <v>1254</v>
      </c>
      <c r="B28" s="2">
        <v>2018</v>
      </c>
      <c r="C28" s="2">
        <v>6</v>
      </c>
      <c r="D28" s="7">
        <v>18.920000000000002</v>
      </c>
      <c r="E28" s="7">
        <v>-0.43</v>
      </c>
      <c r="F28" s="2">
        <v>0</v>
      </c>
      <c r="G28" s="2">
        <v>-5</v>
      </c>
      <c r="H28" s="6">
        <v>0</v>
      </c>
    </row>
    <row r="29" spans="1:8" x14ac:dyDescent="0.2">
      <c r="A29" s="2" t="s">
        <v>9</v>
      </c>
      <c r="B29" s="2">
        <v>2018</v>
      </c>
      <c r="C29" s="2">
        <v>6</v>
      </c>
      <c r="D29" s="7">
        <v>18.71</v>
      </c>
      <c r="E29" s="7">
        <v>4.49</v>
      </c>
      <c r="F29" s="2"/>
      <c r="G29" s="2"/>
      <c r="H29" s="10"/>
    </row>
    <row r="30" spans="1:8" x14ac:dyDescent="0.2">
      <c r="A30" s="2" t="s">
        <v>76</v>
      </c>
      <c r="B30" s="2">
        <v>2015</v>
      </c>
      <c r="C30" s="2">
        <v>6</v>
      </c>
      <c r="D30" s="7">
        <v>18.634</v>
      </c>
      <c r="E30" s="7">
        <v>3.77</v>
      </c>
      <c r="F30" s="2">
        <v>2</v>
      </c>
      <c r="G30" s="2">
        <v>19</v>
      </c>
      <c r="H30" s="6">
        <f>27/2</f>
        <v>13.5</v>
      </c>
    </row>
    <row r="31" spans="1:8" x14ac:dyDescent="0.2">
      <c r="A31" t="s">
        <v>7</v>
      </c>
      <c r="B31">
        <v>2011</v>
      </c>
      <c r="C31">
        <v>6</v>
      </c>
      <c r="D31" s="3">
        <v>18.588100000000001</v>
      </c>
      <c r="E31" s="3">
        <v>6.29</v>
      </c>
      <c r="F31">
        <v>0</v>
      </c>
      <c r="G31">
        <v>-18</v>
      </c>
      <c r="H31" s="6">
        <v>0</v>
      </c>
    </row>
    <row r="32" spans="1:8" x14ac:dyDescent="0.2">
      <c r="A32" t="s">
        <v>70</v>
      </c>
      <c r="B32">
        <v>2004</v>
      </c>
      <c r="C32">
        <v>6</v>
      </c>
      <c r="D32" s="3">
        <v>18.460599999999999</v>
      </c>
      <c r="E32" s="3">
        <v>-2.82</v>
      </c>
      <c r="F32">
        <v>2</v>
      </c>
      <c r="G32">
        <v>-5</v>
      </c>
      <c r="H32" s="6">
        <f>(15/2)</f>
        <v>7.5</v>
      </c>
    </row>
    <row r="33" spans="1:8" x14ac:dyDescent="0.2">
      <c r="A33" s="2" t="s">
        <v>29</v>
      </c>
      <c r="B33" s="2">
        <v>2014</v>
      </c>
      <c r="C33" s="2">
        <v>6</v>
      </c>
      <c r="D33" s="7">
        <v>18.390799999999999</v>
      </c>
      <c r="E33" s="7">
        <v>4.45</v>
      </c>
      <c r="F33" s="2">
        <v>1</v>
      </c>
      <c r="G33" s="2">
        <v>0</v>
      </c>
      <c r="H33" s="5">
        <v>2</v>
      </c>
    </row>
    <row r="34" spans="1:8" x14ac:dyDescent="0.2">
      <c r="A34" t="s">
        <v>25</v>
      </c>
      <c r="B34">
        <v>2003</v>
      </c>
      <c r="C34">
        <v>6</v>
      </c>
      <c r="D34" s="3">
        <v>18.014099999999999</v>
      </c>
      <c r="E34" s="3">
        <v>2.54</v>
      </c>
      <c r="F34">
        <v>0</v>
      </c>
      <c r="G34">
        <v>-6</v>
      </c>
      <c r="H34" s="6">
        <v>0</v>
      </c>
    </row>
    <row r="35" spans="1:8" x14ac:dyDescent="0.2">
      <c r="A35" t="s">
        <v>26</v>
      </c>
      <c r="B35">
        <v>2010</v>
      </c>
      <c r="C35">
        <v>6</v>
      </c>
      <c r="D35" s="3">
        <v>17.948799999999999</v>
      </c>
      <c r="E35" s="3">
        <v>-3.62</v>
      </c>
      <c r="F35">
        <v>0</v>
      </c>
      <c r="G35">
        <v>-1</v>
      </c>
      <c r="H35" s="6">
        <v>0</v>
      </c>
    </row>
    <row r="36" spans="1:8" x14ac:dyDescent="0.2">
      <c r="A36" s="2" t="s">
        <v>68</v>
      </c>
      <c r="B36" s="2">
        <v>2014</v>
      </c>
      <c r="C36" s="2">
        <v>6</v>
      </c>
      <c r="D36" s="7">
        <v>17.797799999999999</v>
      </c>
      <c r="E36" s="7">
        <v>4.2699999999999996</v>
      </c>
      <c r="F36" s="2">
        <v>2</v>
      </c>
      <c r="G36" s="2">
        <v>27</v>
      </c>
      <c r="H36" s="6">
        <f>44/2</f>
        <v>22</v>
      </c>
    </row>
    <row r="37" spans="1:8" x14ac:dyDescent="0.2">
      <c r="A37" s="2" t="s">
        <v>617</v>
      </c>
      <c r="B37" s="2">
        <v>2016</v>
      </c>
      <c r="C37" s="2">
        <v>6</v>
      </c>
      <c r="D37" s="7">
        <v>17.6709</v>
      </c>
      <c r="E37" s="7">
        <v>-0.5</v>
      </c>
      <c r="F37" s="2">
        <v>0</v>
      </c>
      <c r="G37" s="2">
        <v>-16</v>
      </c>
      <c r="H37" s="5">
        <v>0</v>
      </c>
    </row>
    <row r="38" spans="1:8" x14ac:dyDescent="0.2">
      <c r="A38" t="s">
        <v>74</v>
      </c>
      <c r="B38">
        <v>2008</v>
      </c>
      <c r="C38">
        <v>6</v>
      </c>
      <c r="D38" s="3">
        <v>17.647300000000001</v>
      </c>
      <c r="E38" s="3">
        <v>-0.18</v>
      </c>
      <c r="F38">
        <v>1</v>
      </c>
      <c r="G38">
        <v>4</v>
      </c>
      <c r="H38" s="6">
        <v>11</v>
      </c>
    </row>
    <row r="39" spans="1:8" x14ac:dyDescent="0.2">
      <c r="A39" t="s">
        <v>77</v>
      </c>
      <c r="B39">
        <v>2006</v>
      </c>
      <c r="C39">
        <v>6</v>
      </c>
      <c r="D39" s="3">
        <v>17.604500000000002</v>
      </c>
      <c r="E39" s="3">
        <v>1.61</v>
      </c>
      <c r="F39">
        <v>2</v>
      </c>
      <c r="G39">
        <v>28</v>
      </c>
      <c r="H39" s="6">
        <f>(31/2)</f>
        <v>15.5</v>
      </c>
    </row>
    <row r="40" spans="1:8" x14ac:dyDescent="0.2">
      <c r="A40" s="2" t="s">
        <v>754</v>
      </c>
      <c r="B40" s="2">
        <v>2015</v>
      </c>
      <c r="C40" s="2">
        <v>6</v>
      </c>
      <c r="D40" s="7">
        <v>17.5626</v>
      </c>
      <c r="E40" s="7">
        <v>5.33</v>
      </c>
      <c r="F40" s="2">
        <v>0</v>
      </c>
      <c r="G40" s="2">
        <v>-13</v>
      </c>
      <c r="H40" s="5">
        <v>0</v>
      </c>
    </row>
    <row r="41" spans="1:8" x14ac:dyDescent="0.2">
      <c r="A41" s="2" t="s">
        <v>966</v>
      </c>
      <c r="B41" s="2">
        <v>2015</v>
      </c>
      <c r="C41" s="2">
        <v>6</v>
      </c>
      <c r="D41" s="7">
        <v>17.536200000000001</v>
      </c>
      <c r="E41" s="7">
        <v>4.37</v>
      </c>
      <c r="F41" s="2">
        <v>0</v>
      </c>
      <c r="G41" s="2">
        <v>-1</v>
      </c>
      <c r="H41" s="5">
        <v>0</v>
      </c>
    </row>
    <row r="42" spans="1:8" x14ac:dyDescent="0.2">
      <c r="A42" t="s">
        <v>539</v>
      </c>
      <c r="B42">
        <v>2002</v>
      </c>
      <c r="C42">
        <v>6</v>
      </c>
      <c r="D42" s="3">
        <v>17.504799999999999</v>
      </c>
      <c r="E42" s="3">
        <v>2.42</v>
      </c>
      <c r="F42">
        <v>0</v>
      </c>
      <c r="G42">
        <v>-8</v>
      </c>
      <c r="H42" s="6">
        <v>0</v>
      </c>
    </row>
    <row r="43" spans="1:8" x14ac:dyDescent="0.2">
      <c r="A43" t="s">
        <v>33</v>
      </c>
      <c r="B43">
        <v>2003</v>
      </c>
      <c r="C43">
        <v>6</v>
      </c>
      <c r="D43" s="3">
        <v>17.2407</v>
      </c>
      <c r="E43" s="3">
        <v>5.35</v>
      </c>
      <c r="F43">
        <v>1</v>
      </c>
      <c r="G43">
        <v>-8</v>
      </c>
      <c r="H43" s="6">
        <v>1</v>
      </c>
    </row>
    <row r="44" spans="1:8" x14ac:dyDescent="0.2">
      <c r="A44" s="2" t="s">
        <v>78</v>
      </c>
      <c r="B44" s="2">
        <v>2016</v>
      </c>
      <c r="C44" s="2">
        <v>6</v>
      </c>
      <c r="D44" s="7">
        <v>17.080400000000001</v>
      </c>
      <c r="E44" s="7">
        <v>8.09</v>
      </c>
      <c r="F44" s="2">
        <v>0</v>
      </c>
      <c r="G44" s="2">
        <v>-3</v>
      </c>
      <c r="H44" s="5">
        <v>0</v>
      </c>
    </row>
    <row r="45" spans="1:8" x14ac:dyDescent="0.2">
      <c r="A45" t="s">
        <v>225</v>
      </c>
      <c r="B45">
        <v>2010</v>
      </c>
      <c r="C45">
        <v>6</v>
      </c>
      <c r="D45" s="3">
        <v>17.0655</v>
      </c>
      <c r="E45" s="3">
        <v>1.8</v>
      </c>
      <c r="F45">
        <v>3</v>
      </c>
      <c r="G45">
        <v>20</v>
      </c>
      <c r="H45" s="6">
        <f>(21/3)</f>
        <v>7</v>
      </c>
    </row>
    <row r="46" spans="1:8" x14ac:dyDescent="0.2">
      <c r="A46" t="s">
        <v>19</v>
      </c>
      <c r="B46">
        <v>2003</v>
      </c>
      <c r="C46">
        <v>6</v>
      </c>
      <c r="D46" s="3">
        <v>16.960799999999999</v>
      </c>
      <c r="E46" s="3">
        <v>1.53</v>
      </c>
      <c r="F46">
        <v>1</v>
      </c>
      <c r="G46">
        <v>2</v>
      </c>
      <c r="H46" s="6">
        <v>14</v>
      </c>
    </row>
    <row r="47" spans="1:8" x14ac:dyDescent="0.2">
      <c r="A47" t="s">
        <v>45</v>
      </c>
      <c r="B47">
        <v>2002</v>
      </c>
      <c r="C47">
        <v>6</v>
      </c>
      <c r="D47" s="3">
        <v>16.955400000000001</v>
      </c>
      <c r="E47" s="3">
        <v>-0.89</v>
      </c>
      <c r="F47">
        <v>1</v>
      </c>
      <c r="G47">
        <v>-6</v>
      </c>
      <c r="H47" s="6">
        <v>7</v>
      </c>
    </row>
    <row r="48" spans="1:8" x14ac:dyDescent="0.2">
      <c r="A48" t="s">
        <v>78</v>
      </c>
      <c r="B48">
        <v>2002</v>
      </c>
      <c r="C48">
        <v>6</v>
      </c>
      <c r="D48" s="3">
        <v>16.816199999999998</v>
      </c>
      <c r="E48" s="3">
        <v>7.27</v>
      </c>
      <c r="F48">
        <v>2</v>
      </c>
      <c r="G48">
        <v>15</v>
      </c>
      <c r="H48" s="6">
        <f>17 / 2</f>
        <v>8.5</v>
      </c>
    </row>
    <row r="49" spans="1:8" x14ac:dyDescent="0.2">
      <c r="A49" t="s">
        <v>10</v>
      </c>
      <c r="B49">
        <v>2006</v>
      </c>
      <c r="C49">
        <v>6</v>
      </c>
      <c r="D49" s="3">
        <v>16.676300000000001</v>
      </c>
      <c r="E49" s="3">
        <v>1.04</v>
      </c>
      <c r="F49">
        <v>0</v>
      </c>
      <c r="G49">
        <v>-10</v>
      </c>
      <c r="H49" s="6">
        <v>0</v>
      </c>
    </row>
    <row r="50" spans="1:8" x14ac:dyDescent="0.2">
      <c r="A50" s="2" t="s">
        <v>22</v>
      </c>
      <c r="B50">
        <v>2013</v>
      </c>
      <c r="C50" s="2">
        <v>6</v>
      </c>
      <c r="D50" s="7">
        <v>16.654599999999999</v>
      </c>
      <c r="E50" s="3">
        <v>3.17</v>
      </c>
      <c r="F50">
        <v>1</v>
      </c>
      <c r="G50">
        <v>-20</v>
      </c>
      <c r="H50" s="6">
        <v>2</v>
      </c>
    </row>
    <row r="51" spans="1:8" x14ac:dyDescent="0.2">
      <c r="A51" t="s">
        <v>220</v>
      </c>
      <c r="B51">
        <v>2011</v>
      </c>
      <c r="C51">
        <v>6</v>
      </c>
      <c r="D51" s="3">
        <v>16.4404</v>
      </c>
      <c r="E51" s="3">
        <v>3.14</v>
      </c>
      <c r="F51">
        <v>0</v>
      </c>
      <c r="G51">
        <v>-15</v>
      </c>
      <c r="H51" s="6">
        <v>0</v>
      </c>
    </row>
    <row r="52" spans="1:8" x14ac:dyDescent="0.2">
      <c r="A52" t="s">
        <v>2</v>
      </c>
      <c r="B52">
        <v>2006</v>
      </c>
      <c r="C52">
        <v>6</v>
      </c>
      <c r="D52" s="3">
        <v>16.300599999999999</v>
      </c>
      <c r="E52" s="3">
        <v>1.1200000000000001</v>
      </c>
      <c r="F52">
        <v>1</v>
      </c>
      <c r="G52">
        <v>-6</v>
      </c>
      <c r="H52" s="6">
        <v>4</v>
      </c>
    </row>
    <row r="53" spans="1:8" x14ac:dyDescent="0.2">
      <c r="A53" t="s">
        <v>76</v>
      </c>
      <c r="B53">
        <v>2011</v>
      </c>
      <c r="C53">
        <v>6</v>
      </c>
      <c r="D53" s="3">
        <v>16.2256</v>
      </c>
      <c r="E53" s="3">
        <v>7.05</v>
      </c>
      <c r="F53">
        <v>0</v>
      </c>
      <c r="G53">
        <v>-11</v>
      </c>
      <c r="H53" s="6">
        <v>0</v>
      </c>
    </row>
    <row r="54" spans="1:8" x14ac:dyDescent="0.2">
      <c r="A54" s="2" t="s">
        <v>20</v>
      </c>
      <c r="B54">
        <v>2012</v>
      </c>
      <c r="C54">
        <v>6</v>
      </c>
      <c r="D54" s="3">
        <v>16.058399999999999</v>
      </c>
      <c r="E54" s="3">
        <v>1.2</v>
      </c>
      <c r="F54">
        <v>0</v>
      </c>
      <c r="G54">
        <v>-4</v>
      </c>
      <c r="H54" s="6">
        <v>0</v>
      </c>
    </row>
    <row r="55" spans="1:8" x14ac:dyDescent="0.2">
      <c r="A55" s="2" t="s">
        <v>26</v>
      </c>
      <c r="B55" s="2">
        <v>2016</v>
      </c>
      <c r="C55" s="2">
        <v>6</v>
      </c>
      <c r="D55" s="7">
        <v>15.960599999999999</v>
      </c>
      <c r="E55" s="7">
        <v>1.28</v>
      </c>
      <c r="F55" s="2">
        <v>3</v>
      </c>
      <c r="G55" s="2">
        <v>-1</v>
      </c>
      <c r="H55" s="5">
        <f>13 / 3</f>
        <v>4.333333333333333</v>
      </c>
    </row>
    <row r="56" spans="1:8" x14ac:dyDescent="0.2">
      <c r="A56" s="2" t="s">
        <v>8</v>
      </c>
      <c r="B56" s="2">
        <v>2018</v>
      </c>
      <c r="C56" s="2">
        <v>6</v>
      </c>
      <c r="D56" s="7">
        <v>15.71</v>
      </c>
      <c r="E56" s="7">
        <v>-3.58</v>
      </c>
      <c r="F56" s="2">
        <v>0</v>
      </c>
      <c r="G56" s="2">
        <v>-2</v>
      </c>
      <c r="H56" s="6">
        <v>0</v>
      </c>
    </row>
    <row r="57" spans="1:8" x14ac:dyDescent="0.2">
      <c r="A57" s="2" t="s">
        <v>24</v>
      </c>
      <c r="B57">
        <v>2013</v>
      </c>
      <c r="C57" s="2">
        <v>6</v>
      </c>
      <c r="D57" s="7">
        <v>15.126799999999999</v>
      </c>
      <c r="E57" s="3">
        <v>4.1500000000000004</v>
      </c>
      <c r="F57">
        <v>0</v>
      </c>
      <c r="G57">
        <v>-20</v>
      </c>
      <c r="H57" s="6">
        <v>0</v>
      </c>
    </row>
    <row r="58" spans="1:8" x14ac:dyDescent="0.2">
      <c r="A58" t="s">
        <v>37</v>
      </c>
      <c r="B58">
        <v>2012</v>
      </c>
      <c r="C58">
        <v>6</v>
      </c>
      <c r="D58" s="3">
        <v>15.1083</v>
      </c>
      <c r="E58" s="3">
        <v>-5.49</v>
      </c>
      <c r="F58">
        <v>2</v>
      </c>
      <c r="G58">
        <v>-3</v>
      </c>
      <c r="H58" s="6">
        <f>(12/2)</f>
        <v>6</v>
      </c>
    </row>
    <row r="59" spans="1:8" x14ac:dyDescent="0.2">
      <c r="A59" t="s">
        <v>71</v>
      </c>
      <c r="B59">
        <v>2012</v>
      </c>
      <c r="C59">
        <v>6</v>
      </c>
      <c r="D59" s="3">
        <v>15.106999999999999</v>
      </c>
      <c r="E59" s="3">
        <v>3.78</v>
      </c>
      <c r="F59">
        <v>1</v>
      </c>
      <c r="G59">
        <v>8</v>
      </c>
      <c r="H59" s="6">
        <v>17</v>
      </c>
    </row>
    <row r="60" spans="1:8" x14ac:dyDescent="0.2">
      <c r="A60" t="s">
        <v>539</v>
      </c>
      <c r="B60">
        <v>2005</v>
      </c>
      <c r="C60">
        <v>6</v>
      </c>
      <c r="D60" s="3">
        <v>15.0861</v>
      </c>
      <c r="E60" s="3">
        <v>-0.9</v>
      </c>
      <c r="F60">
        <v>2</v>
      </c>
      <c r="G60">
        <v>9</v>
      </c>
      <c r="H60" s="6">
        <f>(14/2)</f>
        <v>7</v>
      </c>
    </row>
    <row r="61" spans="1:8" x14ac:dyDescent="0.2">
      <c r="A61" s="2" t="s">
        <v>303</v>
      </c>
      <c r="B61" s="2">
        <v>2017</v>
      </c>
      <c r="C61" s="2">
        <v>6</v>
      </c>
      <c r="D61" s="7">
        <v>14.83</v>
      </c>
      <c r="E61" s="2">
        <v>-0.93</v>
      </c>
      <c r="F61" s="2">
        <v>0</v>
      </c>
      <c r="G61" s="2">
        <v>-11</v>
      </c>
      <c r="H61" s="5">
        <v>0</v>
      </c>
    </row>
    <row r="62" spans="1:8" x14ac:dyDescent="0.2">
      <c r="A62" s="2" t="s">
        <v>23</v>
      </c>
      <c r="B62">
        <v>2013</v>
      </c>
      <c r="C62" s="2">
        <v>6</v>
      </c>
      <c r="D62" s="7">
        <v>14.7737</v>
      </c>
      <c r="E62" s="3">
        <v>4.93</v>
      </c>
      <c r="F62">
        <v>1</v>
      </c>
      <c r="G62">
        <v>10</v>
      </c>
      <c r="H62" s="6">
        <v>12</v>
      </c>
    </row>
    <row r="63" spans="1:8" x14ac:dyDescent="0.2">
      <c r="A63" t="s">
        <v>38</v>
      </c>
      <c r="B63">
        <v>2008</v>
      </c>
      <c r="C63">
        <v>6</v>
      </c>
      <c r="D63" s="3">
        <v>14.715999999999999</v>
      </c>
      <c r="E63" s="3">
        <v>2.42</v>
      </c>
      <c r="F63">
        <v>1</v>
      </c>
      <c r="G63">
        <v>-22</v>
      </c>
      <c r="H63" s="6">
        <v>8</v>
      </c>
    </row>
    <row r="64" spans="1:8" x14ac:dyDescent="0.2">
      <c r="A64" t="s">
        <v>38</v>
      </c>
      <c r="B64">
        <v>2006</v>
      </c>
      <c r="C64">
        <v>6</v>
      </c>
      <c r="D64" s="3">
        <v>14.537699999999999</v>
      </c>
      <c r="E64" s="3">
        <v>2.16</v>
      </c>
      <c r="F64">
        <v>0</v>
      </c>
      <c r="G64">
        <v>-8</v>
      </c>
      <c r="H64" s="6">
        <v>0</v>
      </c>
    </row>
    <row r="65" spans="1:8" x14ac:dyDescent="0.2">
      <c r="A65" t="s">
        <v>383</v>
      </c>
      <c r="B65">
        <v>2005</v>
      </c>
      <c r="C65">
        <v>6</v>
      </c>
      <c r="D65" s="3">
        <v>14.2475</v>
      </c>
      <c r="E65" s="3">
        <v>3.33</v>
      </c>
      <c r="F65">
        <v>0</v>
      </c>
      <c r="G65">
        <v>-14</v>
      </c>
      <c r="H65" s="6">
        <v>0</v>
      </c>
    </row>
    <row r="66" spans="1:8" x14ac:dyDescent="0.2">
      <c r="A66" t="s">
        <v>382</v>
      </c>
      <c r="B66">
        <v>2004</v>
      </c>
      <c r="C66">
        <v>6</v>
      </c>
      <c r="D66" s="3">
        <v>14.195399999999999</v>
      </c>
      <c r="E66" s="8">
        <v>0.9</v>
      </c>
      <c r="F66">
        <v>1</v>
      </c>
      <c r="G66">
        <v>4</v>
      </c>
      <c r="H66" s="6">
        <v>7</v>
      </c>
    </row>
    <row r="67" spans="1:8" x14ac:dyDescent="0.2">
      <c r="A67" s="2" t="s">
        <v>895</v>
      </c>
      <c r="B67" s="2">
        <v>2014</v>
      </c>
      <c r="C67" s="2">
        <v>6</v>
      </c>
      <c r="D67" s="7">
        <v>14.141400000000001</v>
      </c>
      <c r="E67" s="7">
        <v>6.05</v>
      </c>
      <c r="F67" s="2">
        <v>0</v>
      </c>
      <c r="G67" s="2">
        <v>-19</v>
      </c>
      <c r="H67" s="5">
        <v>0</v>
      </c>
    </row>
    <row r="68" spans="1:8" x14ac:dyDescent="0.2">
      <c r="A68" t="s">
        <v>70</v>
      </c>
      <c r="B68">
        <v>2007</v>
      </c>
      <c r="C68">
        <v>6</v>
      </c>
      <c r="D68" s="3">
        <v>13.414</v>
      </c>
      <c r="E68" s="3">
        <v>-0.16</v>
      </c>
      <c r="F68">
        <v>2</v>
      </c>
      <c r="G68">
        <v>36</v>
      </c>
      <c r="H68" s="6">
        <f>(37/2)</f>
        <v>18.5</v>
      </c>
    </row>
    <row r="69" spans="1:8" x14ac:dyDescent="0.2">
      <c r="A69" t="s">
        <v>143</v>
      </c>
      <c r="B69">
        <v>2012</v>
      </c>
      <c r="C69">
        <v>6</v>
      </c>
      <c r="D69" s="3">
        <v>12.4542</v>
      </c>
      <c r="E69" s="3">
        <v>-1.28</v>
      </c>
      <c r="F69">
        <v>0</v>
      </c>
      <c r="G69">
        <v>-14</v>
      </c>
      <c r="H69" s="6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1"/>
  <sheetViews>
    <sheetView topLeftCell="A19" workbookViewId="0">
      <selection activeCell="H40" sqref="H40"/>
    </sheetView>
  </sheetViews>
  <sheetFormatPr baseColWidth="10" defaultRowHeight="16" x14ac:dyDescent="0.2"/>
  <cols>
    <col min="1" max="1" width="14.33203125" bestFit="1" customWidth="1"/>
    <col min="2" max="3" width="5.1640625" bestFit="1" customWidth="1"/>
    <col min="4" max="4" width="6.6640625" bestFit="1" customWidth="1"/>
    <col min="5" max="5" width="12.6640625" bestFit="1" customWidth="1"/>
    <col min="6" max="6" width="5.33203125" bestFit="1" customWidth="1"/>
    <col min="7" max="7" width="16" bestFit="1" customWidth="1"/>
    <col min="8" max="8" width="12.6640625" bestFit="1" customWidth="1"/>
  </cols>
  <sheetData>
    <row r="1" spans="1:8" x14ac:dyDescent="0.2">
      <c r="A1" s="1" t="s">
        <v>63</v>
      </c>
      <c r="B1" s="1" t="s">
        <v>67</v>
      </c>
      <c r="C1" s="1" t="s">
        <v>64</v>
      </c>
      <c r="D1" s="1" t="s">
        <v>1178</v>
      </c>
      <c r="E1" s="1" t="s">
        <v>1176</v>
      </c>
      <c r="F1" s="1" t="s">
        <v>65</v>
      </c>
      <c r="G1" s="1" t="s">
        <v>91</v>
      </c>
      <c r="H1" s="1" t="s">
        <v>92</v>
      </c>
    </row>
    <row r="2" spans="1:8" x14ac:dyDescent="0.2">
      <c r="A2" s="2" t="s">
        <v>41</v>
      </c>
      <c r="B2" s="2">
        <v>2017</v>
      </c>
      <c r="C2" s="2">
        <v>7</v>
      </c>
      <c r="D2" s="7">
        <v>24.64</v>
      </c>
      <c r="E2" s="2">
        <v>-4.2699999999999996</v>
      </c>
      <c r="F2" s="2">
        <v>1</v>
      </c>
      <c r="G2" s="2">
        <v>-1</v>
      </c>
      <c r="H2" s="5">
        <f>8/1</f>
        <v>8</v>
      </c>
    </row>
    <row r="3" spans="1:8" x14ac:dyDescent="0.2">
      <c r="A3" s="4" t="s">
        <v>83</v>
      </c>
      <c r="B3" s="4">
        <v>2010</v>
      </c>
      <c r="C3" s="4">
        <v>7</v>
      </c>
      <c r="D3" s="8">
        <v>23.82</v>
      </c>
      <c r="E3" s="8">
        <v>0.64</v>
      </c>
      <c r="F3" s="4">
        <v>1</v>
      </c>
      <c r="G3" s="4">
        <v>-5</v>
      </c>
      <c r="H3" s="9">
        <v>7</v>
      </c>
    </row>
    <row r="4" spans="1:8" x14ac:dyDescent="0.2">
      <c r="A4" s="2" t="s">
        <v>13</v>
      </c>
      <c r="B4" s="2">
        <v>2017</v>
      </c>
      <c r="C4" s="2">
        <v>7</v>
      </c>
      <c r="D4" s="7">
        <v>22.62</v>
      </c>
      <c r="E4" s="2">
        <v>-0.32</v>
      </c>
      <c r="F4" s="2">
        <v>2</v>
      </c>
      <c r="G4" s="2">
        <v>4</v>
      </c>
      <c r="H4" s="5">
        <f>5/2</f>
        <v>2.5</v>
      </c>
    </row>
    <row r="5" spans="1:8" x14ac:dyDescent="0.2">
      <c r="A5" s="4" t="s">
        <v>25</v>
      </c>
      <c r="B5" s="4">
        <v>2013</v>
      </c>
      <c r="C5" s="4">
        <v>7</v>
      </c>
      <c r="D5" s="8">
        <v>22.18</v>
      </c>
      <c r="E5" s="8">
        <v>3.88</v>
      </c>
      <c r="F5" s="4">
        <v>1</v>
      </c>
      <c r="G5" s="4">
        <v>-12</v>
      </c>
      <c r="H5" s="9">
        <v>4</v>
      </c>
    </row>
    <row r="6" spans="1:8" x14ac:dyDescent="0.2">
      <c r="A6" s="4" t="s">
        <v>221</v>
      </c>
      <c r="B6" s="4">
        <v>2011</v>
      </c>
      <c r="C6" s="4">
        <v>7</v>
      </c>
      <c r="D6" s="8">
        <v>21.76</v>
      </c>
      <c r="E6" s="8">
        <v>3.63</v>
      </c>
      <c r="F6" s="4">
        <v>1</v>
      </c>
      <c r="G6" s="4">
        <v>0</v>
      </c>
      <c r="H6" s="9">
        <v>3</v>
      </c>
    </row>
    <row r="7" spans="1:8" x14ac:dyDescent="0.2">
      <c r="A7" s="4" t="s">
        <v>32</v>
      </c>
      <c r="B7" s="4">
        <v>2015</v>
      </c>
      <c r="C7" s="4">
        <v>7</v>
      </c>
      <c r="D7" s="8">
        <v>21.61</v>
      </c>
      <c r="E7" s="8">
        <v>4.82</v>
      </c>
      <c r="F7" s="4">
        <v>2</v>
      </c>
      <c r="G7" s="4">
        <v>7</v>
      </c>
      <c r="H7" s="9">
        <v>9</v>
      </c>
    </row>
    <row r="8" spans="1:8" x14ac:dyDescent="0.2">
      <c r="A8" s="4" t="s">
        <v>615</v>
      </c>
      <c r="B8" s="4">
        <v>2016</v>
      </c>
      <c r="C8" s="4">
        <v>7</v>
      </c>
      <c r="D8" s="8">
        <v>21.38</v>
      </c>
      <c r="E8" s="8">
        <v>3.24</v>
      </c>
      <c r="F8" s="4">
        <v>1</v>
      </c>
      <c r="G8" s="4">
        <v>-17</v>
      </c>
      <c r="H8" s="9">
        <v>2</v>
      </c>
    </row>
    <row r="9" spans="1:8" x14ac:dyDescent="0.2">
      <c r="A9" s="4" t="s">
        <v>10</v>
      </c>
      <c r="B9" s="4">
        <v>2015</v>
      </c>
      <c r="C9" s="4">
        <v>7</v>
      </c>
      <c r="D9" s="8">
        <v>21.05</v>
      </c>
      <c r="E9" s="8">
        <v>1.93</v>
      </c>
      <c r="F9" s="4">
        <v>4</v>
      </c>
      <c r="G9" s="4">
        <v>3</v>
      </c>
      <c r="H9" s="9">
        <v>5.8</v>
      </c>
    </row>
    <row r="10" spans="1:8" x14ac:dyDescent="0.2">
      <c r="A10" s="4" t="s">
        <v>2</v>
      </c>
      <c r="B10" s="4">
        <v>2007</v>
      </c>
      <c r="C10" s="4">
        <v>7</v>
      </c>
      <c r="D10" s="8">
        <v>20.68</v>
      </c>
      <c r="E10" s="8">
        <v>3.83</v>
      </c>
      <c r="F10" s="4">
        <v>1</v>
      </c>
      <c r="G10" s="4">
        <v>8</v>
      </c>
      <c r="H10" s="9">
        <v>13</v>
      </c>
    </row>
    <row r="11" spans="1:8" x14ac:dyDescent="0.2">
      <c r="A11" s="4" t="s">
        <v>9</v>
      </c>
      <c r="B11" s="4">
        <v>2012</v>
      </c>
      <c r="C11" s="4">
        <v>7</v>
      </c>
      <c r="D11" s="8">
        <v>20.3</v>
      </c>
      <c r="E11" s="8">
        <v>1.87</v>
      </c>
      <c r="F11" s="4">
        <v>3</v>
      </c>
      <c r="G11" s="4">
        <v>66</v>
      </c>
      <c r="H11" s="9">
        <v>23.3</v>
      </c>
    </row>
    <row r="12" spans="1:8" x14ac:dyDescent="0.2">
      <c r="A12" s="4" t="s">
        <v>229</v>
      </c>
      <c r="B12" s="4">
        <v>2009</v>
      </c>
      <c r="C12" s="4">
        <v>7</v>
      </c>
      <c r="D12" s="8">
        <v>19.829999999999998</v>
      </c>
      <c r="E12" s="8">
        <v>-1.36</v>
      </c>
      <c r="F12" s="4">
        <v>0</v>
      </c>
      <c r="G12" s="4">
        <v>-3</v>
      </c>
      <c r="H12" s="9">
        <v>0</v>
      </c>
    </row>
    <row r="13" spans="1:8" x14ac:dyDescent="0.2">
      <c r="A13" s="4" t="s">
        <v>37</v>
      </c>
      <c r="B13" s="4">
        <v>2005</v>
      </c>
      <c r="C13" s="4">
        <v>7</v>
      </c>
      <c r="D13" s="8">
        <v>19.64</v>
      </c>
      <c r="E13" s="8">
        <v>4.24</v>
      </c>
      <c r="F13" s="4">
        <v>1</v>
      </c>
      <c r="G13" s="4">
        <v>3</v>
      </c>
      <c r="H13" s="9">
        <v>12</v>
      </c>
    </row>
    <row r="14" spans="1:8" x14ac:dyDescent="0.2">
      <c r="A14" s="4" t="s">
        <v>77</v>
      </c>
      <c r="B14" s="4">
        <v>2008</v>
      </c>
      <c r="C14" s="4">
        <v>7</v>
      </c>
      <c r="D14" s="8">
        <v>19.579999999999998</v>
      </c>
      <c r="E14" s="8">
        <v>-0.78</v>
      </c>
      <c r="F14" s="4">
        <v>2</v>
      </c>
      <c r="G14" s="4">
        <v>12</v>
      </c>
      <c r="H14" s="9">
        <v>8</v>
      </c>
    </row>
    <row r="15" spans="1:8" x14ac:dyDescent="0.2">
      <c r="A15" s="4" t="s">
        <v>229</v>
      </c>
      <c r="B15" s="4">
        <v>2010</v>
      </c>
      <c r="C15" s="4">
        <v>7</v>
      </c>
      <c r="D15" s="8">
        <v>19.25</v>
      </c>
      <c r="E15" s="8">
        <v>-1.01</v>
      </c>
      <c r="F15" s="4">
        <v>0</v>
      </c>
      <c r="G15" s="4">
        <v>-8</v>
      </c>
      <c r="H15" s="9">
        <v>0</v>
      </c>
    </row>
    <row r="16" spans="1:8" x14ac:dyDescent="0.2">
      <c r="A16" s="4" t="s">
        <v>7</v>
      </c>
      <c r="B16" s="4">
        <v>2006</v>
      </c>
      <c r="C16" s="4">
        <v>7</v>
      </c>
      <c r="D16" s="8">
        <v>19.22</v>
      </c>
      <c r="E16" s="8">
        <v>-2.2599999999999998</v>
      </c>
      <c r="F16" s="4">
        <v>2</v>
      </c>
      <c r="G16" s="4">
        <v>19</v>
      </c>
      <c r="H16" s="9">
        <v>11.5</v>
      </c>
    </row>
    <row r="17" spans="1:8" x14ac:dyDescent="0.2">
      <c r="A17" s="4" t="s">
        <v>90</v>
      </c>
      <c r="B17" s="4">
        <v>2014</v>
      </c>
      <c r="C17" s="4">
        <v>7</v>
      </c>
      <c r="D17" s="8">
        <v>19.09</v>
      </c>
      <c r="E17" s="8">
        <v>3.98</v>
      </c>
      <c r="F17" s="4">
        <v>6</v>
      </c>
      <c r="G17" s="4">
        <v>47</v>
      </c>
      <c r="H17" s="9">
        <v>7.8</v>
      </c>
    </row>
    <row r="18" spans="1:8" x14ac:dyDescent="0.2">
      <c r="A18" s="4" t="s">
        <v>23</v>
      </c>
      <c r="B18" s="4">
        <v>2008</v>
      </c>
      <c r="C18" s="4">
        <v>7</v>
      </c>
      <c r="D18" s="8">
        <v>18.89</v>
      </c>
      <c r="E18" s="8">
        <v>5.84</v>
      </c>
      <c r="F18" s="4">
        <v>1</v>
      </c>
      <c r="G18" s="4">
        <v>15</v>
      </c>
      <c r="H18" s="9">
        <v>20</v>
      </c>
    </row>
    <row r="19" spans="1:8" x14ac:dyDescent="0.2">
      <c r="A19" s="4" t="s">
        <v>3</v>
      </c>
      <c r="B19" s="4">
        <v>2008</v>
      </c>
      <c r="C19" s="4">
        <v>7</v>
      </c>
      <c r="D19" s="8">
        <v>18.82</v>
      </c>
      <c r="E19" s="8">
        <v>9.14</v>
      </c>
      <c r="F19" s="4">
        <v>0</v>
      </c>
      <c r="G19" s="4">
        <v>-6</v>
      </c>
      <c r="H19" s="9">
        <v>0</v>
      </c>
    </row>
    <row r="20" spans="1:8" x14ac:dyDescent="0.2">
      <c r="A20" s="4" t="s">
        <v>44</v>
      </c>
      <c r="B20" s="4">
        <v>2014</v>
      </c>
      <c r="C20" s="4">
        <v>7</v>
      </c>
      <c r="D20" s="8">
        <v>18.77</v>
      </c>
      <c r="E20" s="8">
        <v>2.89</v>
      </c>
      <c r="F20" s="4">
        <v>1</v>
      </c>
      <c r="G20" s="4">
        <v>11</v>
      </c>
      <c r="H20" s="9">
        <v>19</v>
      </c>
    </row>
    <row r="21" spans="1:8" x14ac:dyDescent="0.2">
      <c r="A21" s="4" t="s">
        <v>143</v>
      </c>
      <c r="B21" s="4">
        <v>2013</v>
      </c>
      <c r="C21" s="4">
        <v>7</v>
      </c>
      <c r="D21" s="8">
        <v>18.55</v>
      </c>
      <c r="E21" s="8">
        <v>3.28</v>
      </c>
      <c r="F21" s="4">
        <v>1</v>
      </c>
      <c r="G21" s="4">
        <v>5</v>
      </c>
      <c r="H21" s="9">
        <v>15</v>
      </c>
    </row>
    <row r="22" spans="1:8" x14ac:dyDescent="0.2">
      <c r="A22" s="4" t="s">
        <v>615</v>
      </c>
      <c r="B22" s="4">
        <v>2015</v>
      </c>
      <c r="C22" s="4">
        <v>7</v>
      </c>
      <c r="D22" s="8">
        <v>18.239999999999998</v>
      </c>
      <c r="E22" s="8">
        <v>2.59</v>
      </c>
      <c r="F22" s="4">
        <v>1</v>
      </c>
      <c r="G22" s="4">
        <v>12</v>
      </c>
      <c r="H22" s="9">
        <v>31</v>
      </c>
    </row>
    <row r="23" spans="1:8" x14ac:dyDescent="0.2">
      <c r="A23" s="2" t="s">
        <v>538</v>
      </c>
      <c r="B23" s="2">
        <v>2018</v>
      </c>
      <c r="C23" s="2">
        <v>7</v>
      </c>
      <c r="D23" s="7">
        <v>18.18</v>
      </c>
      <c r="E23" s="7">
        <v>4.2</v>
      </c>
      <c r="F23" s="2"/>
      <c r="G23" s="2"/>
      <c r="H23" s="10"/>
    </row>
    <row r="24" spans="1:8" x14ac:dyDescent="0.2">
      <c r="A24" s="4" t="s">
        <v>78</v>
      </c>
      <c r="B24" s="4">
        <v>2009</v>
      </c>
      <c r="C24" s="4">
        <v>7</v>
      </c>
      <c r="D24" s="8">
        <v>18.010000000000002</v>
      </c>
      <c r="E24" s="8">
        <v>3.79</v>
      </c>
      <c r="F24" s="4">
        <v>1</v>
      </c>
      <c r="G24" s="4">
        <v>9</v>
      </c>
      <c r="H24" s="9">
        <v>14</v>
      </c>
    </row>
    <row r="25" spans="1:8" x14ac:dyDescent="0.2">
      <c r="A25" s="4" t="s">
        <v>45</v>
      </c>
      <c r="B25" s="4">
        <v>2009</v>
      </c>
      <c r="C25" s="4">
        <v>7</v>
      </c>
      <c r="D25" s="8">
        <v>17.87</v>
      </c>
      <c r="E25" s="8">
        <v>0.17</v>
      </c>
      <c r="F25" s="4">
        <v>0</v>
      </c>
      <c r="G25" s="4">
        <v>-13</v>
      </c>
      <c r="H25" s="9">
        <v>0</v>
      </c>
    </row>
    <row r="26" spans="1:8" x14ac:dyDescent="0.2">
      <c r="A26" s="4" t="s">
        <v>11</v>
      </c>
      <c r="B26" s="4">
        <v>2014</v>
      </c>
      <c r="C26" s="4">
        <v>7</v>
      </c>
      <c r="D26" s="8">
        <v>17.57</v>
      </c>
      <c r="E26" s="8">
        <v>5.36</v>
      </c>
      <c r="F26" s="4">
        <v>0</v>
      </c>
      <c r="G26" s="4">
        <v>-5</v>
      </c>
      <c r="H26" s="9">
        <v>0</v>
      </c>
    </row>
    <row r="27" spans="1:8" x14ac:dyDescent="0.2">
      <c r="A27" s="4" t="s">
        <v>76</v>
      </c>
      <c r="B27" s="4">
        <v>2004</v>
      </c>
      <c r="C27" s="4">
        <v>7</v>
      </c>
      <c r="D27" s="8">
        <v>17.510000000000002</v>
      </c>
      <c r="E27" s="8">
        <v>4.0199999999999996</v>
      </c>
      <c r="F27" s="4">
        <v>3</v>
      </c>
      <c r="G27" s="4">
        <v>30</v>
      </c>
      <c r="H27" s="9">
        <v>11</v>
      </c>
    </row>
    <row r="28" spans="1:8" x14ac:dyDescent="0.2">
      <c r="A28" s="4" t="s">
        <v>26</v>
      </c>
      <c r="B28" s="4">
        <v>2013</v>
      </c>
      <c r="C28" s="4">
        <v>7</v>
      </c>
      <c r="D28" s="8">
        <v>17.41</v>
      </c>
      <c r="E28" s="8">
        <v>-1.71</v>
      </c>
      <c r="F28" s="4">
        <v>0</v>
      </c>
      <c r="G28" s="4">
        <v>-18</v>
      </c>
      <c r="H28" s="9">
        <v>0</v>
      </c>
    </row>
    <row r="29" spans="1:8" x14ac:dyDescent="0.2">
      <c r="A29" s="2" t="s">
        <v>756</v>
      </c>
      <c r="B29" s="2">
        <v>2017</v>
      </c>
      <c r="C29" s="2">
        <v>7</v>
      </c>
      <c r="D29" s="7">
        <v>17.03</v>
      </c>
      <c r="E29" s="2">
        <v>2.35</v>
      </c>
      <c r="F29" s="2">
        <v>4</v>
      </c>
      <c r="G29" s="2">
        <v>50</v>
      </c>
      <c r="H29" s="5">
        <f>54/4</f>
        <v>13.5</v>
      </c>
    </row>
    <row r="30" spans="1:8" x14ac:dyDescent="0.2">
      <c r="A30" s="4" t="s">
        <v>3</v>
      </c>
      <c r="B30" s="4">
        <v>2012</v>
      </c>
      <c r="C30" s="4">
        <v>7</v>
      </c>
      <c r="D30" s="8">
        <v>17</v>
      </c>
      <c r="E30" s="8">
        <v>4.3899999999999997</v>
      </c>
      <c r="F30" s="4">
        <v>1</v>
      </c>
      <c r="G30" s="4">
        <v>16</v>
      </c>
      <c r="H30" s="9">
        <v>23</v>
      </c>
    </row>
    <row r="31" spans="1:8" x14ac:dyDescent="0.2">
      <c r="A31" s="2" t="s">
        <v>222</v>
      </c>
      <c r="B31" s="2">
        <v>2018</v>
      </c>
      <c r="C31" s="2">
        <v>7</v>
      </c>
      <c r="D31" s="7">
        <v>16.91</v>
      </c>
      <c r="E31" s="7">
        <v>5.29</v>
      </c>
      <c r="F31" s="2"/>
      <c r="G31" s="2"/>
      <c r="H31" s="10"/>
    </row>
    <row r="32" spans="1:8" x14ac:dyDescent="0.2">
      <c r="A32" s="4" t="s">
        <v>35</v>
      </c>
      <c r="B32" s="4">
        <v>2011</v>
      </c>
      <c r="C32" s="4">
        <v>7</v>
      </c>
      <c r="D32" s="8">
        <v>16.579999999999998</v>
      </c>
      <c r="E32" s="8">
        <v>6.32</v>
      </c>
      <c r="F32" s="4">
        <v>1</v>
      </c>
      <c r="G32" s="4">
        <v>-5</v>
      </c>
      <c r="H32" s="9">
        <v>2</v>
      </c>
    </row>
    <row r="33" spans="1:8" x14ac:dyDescent="0.2">
      <c r="A33" s="4" t="s">
        <v>17</v>
      </c>
      <c r="B33" s="4">
        <v>2016</v>
      </c>
      <c r="C33" s="4">
        <v>7</v>
      </c>
      <c r="D33" s="8">
        <v>16.36</v>
      </c>
      <c r="E33" s="8">
        <v>5.05</v>
      </c>
      <c r="F33" s="4">
        <v>2</v>
      </c>
      <c r="G33" s="4">
        <v>2</v>
      </c>
      <c r="H33" s="9">
        <v>3.5</v>
      </c>
    </row>
    <row r="34" spans="1:8" x14ac:dyDescent="0.2">
      <c r="A34" s="4" t="s">
        <v>18</v>
      </c>
      <c r="B34" s="4">
        <v>2015</v>
      </c>
      <c r="C34" s="4">
        <v>7</v>
      </c>
      <c r="D34" s="8">
        <v>16.309999999999999</v>
      </c>
      <c r="E34" s="8">
        <v>10.14</v>
      </c>
      <c r="F34" s="4">
        <v>0</v>
      </c>
      <c r="G34" s="4">
        <v>-3</v>
      </c>
      <c r="H34" s="9">
        <v>0</v>
      </c>
    </row>
    <row r="35" spans="1:8" x14ac:dyDescent="0.2">
      <c r="A35" s="4" t="s">
        <v>19</v>
      </c>
      <c r="B35" s="4">
        <v>2010</v>
      </c>
      <c r="C35" s="4">
        <v>7</v>
      </c>
      <c r="D35" s="8">
        <v>16.27</v>
      </c>
      <c r="E35" s="8">
        <v>-1.73</v>
      </c>
      <c r="F35" s="4">
        <v>0</v>
      </c>
      <c r="G35" s="4">
        <v>-5</v>
      </c>
      <c r="H35" s="9">
        <v>0</v>
      </c>
    </row>
    <row r="36" spans="1:8" x14ac:dyDescent="0.2">
      <c r="A36" s="4" t="s">
        <v>552</v>
      </c>
      <c r="B36" s="4">
        <v>2005</v>
      </c>
      <c r="C36" s="4">
        <v>7</v>
      </c>
      <c r="D36" s="8">
        <v>16.11</v>
      </c>
      <c r="E36" s="8">
        <v>3.96</v>
      </c>
      <c r="F36" s="4">
        <v>1</v>
      </c>
      <c r="G36" s="4">
        <v>1</v>
      </c>
      <c r="H36" s="9">
        <v>9</v>
      </c>
    </row>
    <row r="37" spans="1:8" x14ac:dyDescent="0.2">
      <c r="A37" s="4" t="s">
        <v>538</v>
      </c>
      <c r="B37" s="4">
        <v>2007</v>
      </c>
      <c r="C37" s="4">
        <v>7</v>
      </c>
      <c r="D37" s="8">
        <v>16</v>
      </c>
      <c r="E37" s="8">
        <v>2.5099999999999998</v>
      </c>
      <c r="F37" s="4">
        <v>1</v>
      </c>
      <c r="G37" s="4">
        <v>-10</v>
      </c>
      <c r="H37" s="9">
        <v>6</v>
      </c>
    </row>
    <row r="38" spans="1:8" x14ac:dyDescent="0.2">
      <c r="A38" s="4" t="s">
        <v>22</v>
      </c>
      <c r="B38" s="4">
        <v>2004</v>
      </c>
      <c r="C38" s="4">
        <v>7</v>
      </c>
      <c r="D38" s="8">
        <v>15.69</v>
      </c>
      <c r="E38" s="8">
        <v>4.08</v>
      </c>
      <c r="F38" s="4">
        <v>1</v>
      </c>
      <c r="G38" s="4">
        <v>-1</v>
      </c>
      <c r="H38" s="9">
        <v>16</v>
      </c>
    </row>
    <row r="39" spans="1:8" x14ac:dyDescent="0.2">
      <c r="A39" s="2" t="s">
        <v>385</v>
      </c>
      <c r="B39" s="2">
        <v>2017</v>
      </c>
      <c r="C39" s="2">
        <v>7</v>
      </c>
      <c r="D39" s="7">
        <v>15.67</v>
      </c>
      <c r="E39" s="2">
        <v>2.9</v>
      </c>
      <c r="F39" s="2">
        <v>0</v>
      </c>
      <c r="G39" s="2">
        <v>-6</v>
      </c>
      <c r="H39" s="5">
        <v>0</v>
      </c>
    </row>
    <row r="40" spans="1:8" x14ac:dyDescent="0.2">
      <c r="A40" s="2" t="s">
        <v>462</v>
      </c>
      <c r="B40" s="2">
        <v>2018</v>
      </c>
      <c r="C40" s="2">
        <v>7</v>
      </c>
      <c r="D40" s="7">
        <v>15.63</v>
      </c>
      <c r="E40" s="7">
        <v>1.3</v>
      </c>
      <c r="F40" s="4">
        <v>0</v>
      </c>
      <c r="G40" s="4">
        <v>-17</v>
      </c>
      <c r="H40" s="5">
        <v>0</v>
      </c>
    </row>
    <row r="41" spans="1:8" x14ac:dyDescent="0.2">
      <c r="A41" s="4" t="s">
        <v>382</v>
      </c>
      <c r="B41" s="4">
        <v>2007</v>
      </c>
      <c r="C41" s="4">
        <v>7</v>
      </c>
      <c r="D41" s="8">
        <v>15.53</v>
      </c>
      <c r="E41" s="8">
        <v>1.62</v>
      </c>
      <c r="F41" s="4">
        <v>1</v>
      </c>
      <c r="G41" s="4">
        <v>2</v>
      </c>
      <c r="H41" s="9">
        <v>9</v>
      </c>
    </row>
    <row r="42" spans="1:8" x14ac:dyDescent="0.2">
      <c r="A42" s="4" t="s">
        <v>41</v>
      </c>
      <c r="B42" s="4">
        <v>2012</v>
      </c>
      <c r="C42" s="4">
        <v>7</v>
      </c>
      <c r="D42" s="8">
        <v>15.5</v>
      </c>
      <c r="E42" s="8">
        <v>-7.0000000000000007E-2</v>
      </c>
      <c r="F42" s="4">
        <v>0</v>
      </c>
      <c r="G42" s="4">
        <v>-3</v>
      </c>
      <c r="H42" s="9">
        <v>0</v>
      </c>
    </row>
    <row r="43" spans="1:8" x14ac:dyDescent="0.2">
      <c r="A43" s="4" t="s">
        <v>20</v>
      </c>
      <c r="B43" s="4">
        <v>2007</v>
      </c>
      <c r="C43" s="4">
        <v>7</v>
      </c>
      <c r="D43" s="8">
        <v>15.33</v>
      </c>
      <c r="E43" s="8">
        <v>3.7</v>
      </c>
      <c r="F43" s="4">
        <v>2</v>
      </c>
      <c r="G43" s="4">
        <v>6</v>
      </c>
      <c r="H43" s="9">
        <v>5</v>
      </c>
    </row>
    <row r="44" spans="1:8" x14ac:dyDescent="0.2">
      <c r="A44" s="4" t="s">
        <v>12</v>
      </c>
      <c r="B44" s="4">
        <v>2006</v>
      </c>
      <c r="C44" s="4">
        <v>7</v>
      </c>
      <c r="D44" s="8">
        <v>15.2</v>
      </c>
      <c r="E44" s="8">
        <v>0.79</v>
      </c>
      <c r="F44" s="4">
        <v>0</v>
      </c>
      <c r="G44" s="4">
        <v>-5</v>
      </c>
      <c r="H44" s="9">
        <v>0</v>
      </c>
    </row>
    <row r="45" spans="1:8" x14ac:dyDescent="0.2">
      <c r="A45" s="4" t="s">
        <v>32</v>
      </c>
      <c r="B45" s="4">
        <v>2006</v>
      </c>
      <c r="C45" s="4">
        <v>7</v>
      </c>
      <c r="D45" s="8">
        <v>15.12</v>
      </c>
      <c r="E45" s="8">
        <v>2.02</v>
      </c>
      <c r="F45" s="4">
        <v>2</v>
      </c>
      <c r="G45" s="4">
        <v>19</v>
      </c>
      <c r="H45" s="9">
        <v>13.5</v>
      </c>
    </row>
    <row r="46" spans="1:8" x14ac:dyDescent="0.2">
      <c r="A46" s="4" t="s">
        <v>27</v>
      </c>
      <c r="B46" s="4">
        <v>2013</v>
      </c>
      <c r="C46" s="4">
        <v>7</v>
      </c>
      <c r="D46" s="8">
        <v>15.09</v>
      </c>
      <c r="E46" s="8">
        <v>2.1</v>
      </c>
      <c r="F46" s="4">
        <v>1</v>
      </c>
      <c r="G46" s="4">
        <v>4</v>
      </c>
      <c r="H46" s="9">
        <v>8</v>
      </c>
    </row>
    <row r="47" spans="1:8" x14ac:dyDescent="0.2">
      <c r="A47" s="4" t="s">
        <v>230</v>
      </c>
      <c r="B47" s="4">
        <v>2010</v>
      </c>
      <c r="C47" s="4">
        <v>7</v>
      </c>
      <c r="D47" s="8">
        <v>15.01</v>
      </c>
      <c r="E47" s="8">
        <v>2.4500000000000002</v>
      </c>
      <c r="F47" s="4">
        <v>0</v>
      </c>
      <c r="G47" s="4">
        <v>-9</v>
      </c>
      <c r="H47" s="9">
        <v>0</v>
      </c>
    </row>
    <row r="48" spans="1:8" x14ac:dyDescent="0.2">
      <c r="A48" s="4" t="s">
        <v>222</v>
      </c>
      <c r="B48" s="4">
        <v>2011</v>
      </c>
      <c r="C48" s="4">
        <v>7</v>
      </c>
      <c r="D48" s="8">
        <v>15.01</v>
      </c>
      <c r="E48" s="8">
        <v>-4.0599999999999996</v>
      </c>
      <c r="F48" s="4">
        <v>0</v>
      </c>
      <c r="G48" s="4">
        <v>-7</v>
      </c>
      <c r="H48" s="9">
        <v>0</v>
      </c>
    </row>
    <row r="49" spans="1:8" x14ac:dyDescent="0.2">
      <c r="A49" s="4" t="s">
        <v>78</v>
      </c>
      <c r="B49" s="4">
        <v>2014</v>
      </c>
      <c r="C49" s="4">
        <v>7</v>
      </c>
      <c r="D49" s="8">
        <v>14.93</v>
      </c>
      <c r="E49" s="8">
        <v>1.33</v>
      </c>
      <c r="F49" s="4">
        <v>1</v>
      </c>
      <c r="G49" s="4">
        <v>-12</v>
      </c>
      <c r="H49" s="9">
        <v>2</v>
      </c>
    </row>
    <row r="50" spans="1:8" x14ac:dyDescent="0.2">
      <c r="A50" s="4" t="s">
        <v>10</v>
      </c>
      <c r="B50" s="4">
        <v>2004</v>
      </c>
      <c r="C50" s="4">
        <v>7</v>
      </c>
      <c r="D50" s="8">
        <v>14.54</v>
      </c>
      <c r="E50" s="8">
        <v>9.2899999999999991</v>
      </c>
      <c r="F50" s="4">
        <v>0</v>
      </c>
      <c r="G50" s="4">
        <v>-6</v>
      </c>
      <c r="H50" s="9">
        <v>0</v>
      </c>
    </row>
    <row r="51" spans="1:8" x14ac:dyDescent="0.2">
      <c r="A51" s="2" t="s">
        <v>1181</v>
      </c>
      <c r="B51" s="2">
        <v>2018</v>
      </c>
      <c r="C51" s="2">
        <v>7</v>
      </c>
      <c r="D51" s="7">
        <v>14.38</v>
      </c>
      <c r="E51" s="7">
        <v>4.0599999999999996</v>
      </c>
      <c r="F51" s="2"/>
      <c r="G51" s="2"/>
      <c r="H51" s="10"/>
    </row>
    <row r="52" spans="1:8" x14ac:dyDescent="0.2">
      <c r="A52" s="4" t="s">
        <v>26</v>
      </c>
      <c r="B52" s="4">
        <v>2012</v>
      </c>
      <c r="C52" s="4">
        <v>7</v>
      </c>
      <c r="D52" s="8">
        <v>14.17</v>
      </c>
      <c r="E52" s="8">
        <v>-0.71</v>
      </c>
      <c r="F52" s="4">
        <v>0</v>
      </c>
      <c r="G52" s="4">
        <v>-4</v>
      </c>
      <c r="H52" s="9">
        <v>0</v>
      </c>
    </row>
    <row r="53" spans="1:8" x14ac:dyDescent="0.2">
      <c r="A53" s="4" t="s">
        <v>8</v>
      </c>
      <c r="B53" s="4">
        <v>2008</v>
      </c>
      <c r="C53" s="4">
        <v>7</v>
      </c>
      <c r="D53" s="8">
        <v>14.05</v>
      </c>
      <c r="E53" s="8">
        <v>-2.81</v>
      </c>
      <c r="F53" s="4">
        <v>1</v>
      </c>
      <c r="G53" s="4">
        <v>11</v>
      </c>
      <c r="H53" s="9">
        <v>14</v>
      </c>
    </row>
    <row r="54" spans="1:8" x14ac:dyDescent="0.2">
      <c r="A54" s="4" t="s">
        <v>77</v>
      </c>
      <c r="B54" s="4">
        <v>2005</v>
      </c>
      <c r="C54" s="4">
        <v>7</v>
      </c>
      <c r="D54" s="8">
        <v>13.52</v>
      </c>
      <c r="E54" s="8">
        <v>-4.88</v>
      </c>
      <c r="F54" s="4">
        <v>3</v>
      </c>
      <c r="G54" s="4">
        <v>5</v>
      </c>
      <c r="H54" s="9">
        <v>4.3</v>
      </c>
    </row>
    <row r="55" spans="1:8" x14ac:dyDescent="0.2">
      <c r="A55" s="4" t="s">
        <v>24</v>
      </c>
      <c r="B55" s="4">
        <v>2011</v>
      </c>
      <c r="C55" s="4">
        <v>7</v>
      </c>
      <c r="D55" s="8">
        <v>13.5</v>
      </c>
      <c r="E55" s="8">
        <v>4.6100000000000003</v>
      </c>
      <c r="F55" s="4">
        <v>1</v>
      </c>
      <c r="G55" s="4">
        <v>-6</v>
      </c>
      <c r="H55" s="9">
        <v>2</v>
      </c>
    </row>
    <row r="56" spans="1:8" x14ac:dyDescent="0.2">
      <c r="A56" s="4" t="s">
        <v>385</v>
      </c>
      <c r="B56" s="4">
        <v>2016</v>
      </c>
      <c r="C56" s="4">
        <v>7</v>
      </c>
      <c r="D56" s="8">
        <v>13.33</v>
      </c>
      <c r="E56" s="8">
        <v>6.17</v>
      </c>
      <c r="F56" s="4">
        <v>0</v>
      </c>
      <c r="G56" s="4">
        <v>-19</v>
      </c>
      <c r="H56" s="9">
        <v>0</v>
      </c>
    </row>
    <row r="57" spans="1:8" x14ac:dyDescent="0.2">
      <c r="A57" s="4" t="s">
        <v>45</v>
      </c>
      <c r="B57" s="4">
        <v>2006</v>
      </c>
      <c r="C57" s="4">
        <v>7</v>
      </c>
      <c r="D57" s="8">
        <v>13.1</v>
      </c>
      <c r="E57" s="8">
        <v>2.84</v>
      </c>
      <c r="F57" s="4">
        <v>0</v>
      </c>
      <c r="G57" s="4">
        <v>-6</v>
      </c>
      <c r="H57" s="9">
        <v>0</v>
      </c>
    </row>
    <row r="58" spans="1:8" x14ac:dyDescent="0.2">
      <c r="A58" s="4" t="s">
        <v>1064</v>
      </c>
      <c r="B58" s="4">
        <v>2016</v>
      </c>
      <c r="C58" s="4">
        <v>7</v>
      </c>
      <c r="D58" s="8">
        <v>12.4</v>
      </c>
      <c r="E58" s="8">
        <v>2.71</v>
      </c>
      <c r="F58" s="4">
        <v>0</v>
      </c>
      <c r="G58" s="4">
        <v>-8</v>
      </c>
      <c r="H58" s="9">
        <v>0</v>
      </c>
    </row>
    <row r="59" spans="1:8" x14ac:dyDescent="0.2">
      <c r="A59" s="4" t="s">
        <v>685</v>
      </c>
      <c r="B59" s="4">
        <v>2005</v>
      </c>
      <c r="C59" s="4">
        <v>7</v>
      </c>
      <c r="D59" s="8">
        <v>12.06</v>
      </c>
      <c r="E59" s="8">
        <v>-0.44</v>
      </c>
      <c r="F59" s="4">
        <v>0</v>
      </c>
      <c r="G59" s="4">
        <v>-12</v>
      </c>
      <c r="H59" s="9">
        <v>0</v>
      </c>
    </row>
    <row r="60" spans="1:8" x14ac:dyDescent="0.2">
      <c r="A60" s="4" t="s">
        <v>382</v>
      </c>
      <c r="B60" s="4">
        <v>2009</v>
      </c>
      <c r="C60" s="4">
        <v>7</v>
      </c>
      <c r="D60" s="8">
        <v>11.8</v>
      </c>
      <c r="E60" s="8">
        <v>-1.88</v>
      </c>
      <c r="F60" s="4">
        <v>0</v>
      </c>
      <c r="G60" s="4">
        <v>-17</v>
      </c>
      <c r="H60" s="9">
        <v>0</v>
      </c>
    </row>
    <row r="61" spans="1:8" x14ac:dyDescent="0.2">
      <c r="A61" s="4" t="s">
        <v>755</v>
      </c>
      <c r="B61" s="4">
        <v>2004</v>
      </c>
      <c r="C61" s="4">
        <v>7</v>
      </c>
      <c r="D61" s="8">
        <v>11.49</v>
      </c>
      <c r="E61" s="8">
        <v>2</v>
      </c>
      <c r="F61" s="4">
        <v>1</v>
      </c>
      <c r="G61" s="4">
        <v>-10</v>
      </c>
      <c r="H61" s="9">
        <v>7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Overall</vt:lpstr>
      <vt:lpstr>Matchups</vt:lpstr>
      <vt:lpstr>1-Seed</vt:lpstr>
      <vt:lpstr>2-Seed</vt:lpstr>
      <vt:lpstr>3-Seed</vt:lpstr>
      <vt:lpstr>4-Seed</vt:lpstr>
      <vt:lpstr>5-Seed</vt:lpstr>
      <vt:lpstr>6-Seed</vt:lpstr>
      <vt:lpstr>7-Seed</vt:lpstr>
      <vt:lpstr>8-Seed</vt:lpstr>
      <vt:lpstr>9-Seed</vt:lpstr>
      <vt:lpstr>10-Seed</vt:lpstr>
      <vt:lpstr>11-Seed</vt:lpstr>
      <vt:lpstr>12-Seed</vt:lpstr>
      <vt:lpstr>13-Seed</vt:lpstr>
      <vt:lpstr>14-Seed</vt:lpstr>
      <vt:lpstr>15-Seed</vt:lpstr>
      <vt:lpstr>16-Seed</vt:lpstr>
    </vt:vector>
  </TitlesOfParts>
  <Company>Vanderbilt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Nygaard</dc:creator>
  <cp:lastModifiedBy>Peter Nygaard</cp:lastModifiedBy>
  <dcterms:created xsi:type="dcterms:W3CDTF">2013-04-01T05:15:40Z</dcterms:created>
  <dcterms:modified xsi:type="dcterms:W3CDTF">2018-04-03T02:30:26Z</dcterms:modified>
</cp:coreProperties>
</file>