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tan\Desktop\"/>
    </mc:Choice>
  </mc:AlternateContent>
  <bookViews>
    <workbookView xWindow="240" yWindow="285" windowWidth="19440" windowHeight="7500" tabRatio="743"/>
  </bookViews>
  <sheets>
    <sheet name="Before" sheetId="18" r:id="rId1"/>
    <sheet name="After" sheetId="19" r:id="rId2"/>
    <sheet name="Forms" sheetId="20" r:id="rId3"/>
    <sheet name="FO(1P)" sheetId="14" r:id="rId4"/>
    <sheet name="FO(1S)" sheetId="15" r:id="rId5"/>
    <sheet name="FO(2P)" sheetId="16" r:id="rId6"/>
    <sheet name="FO(2S)" sheetId="17" r:id="rId7"/>
    <sheet name="DO(P)" sheetId="12" r:id="rId8"/>
    <sheet name="DO(S)" sheetId="13" r:id="rId9"/>
  </sheets>
  <definedNames>
    <definedName name="_xlnm._FilterDatabase" localSheetId="0" hidden="1">Before!#REF!</definedName>
    <definedName name="_xlnm.Print_Area" localSheetId="0">Before!$A$1:$Q$30</definedName>
  </definedNames>
  <calcPr calcId="152511"/>
</workbook>
</file>

<file path=xl/calcChain.xml><?xml version="1.0" encoding="utf-8"?>
<calcChain xmlns="http://schemas.openxmlformats.org/spreadsheetml/2006/main">
  <c r="U30" i="18" l="1"/>
  <c r="V30" i="18"/>
  <c r="B1" i="20" l="1"/>
  <c r="C25" i="20"/>
  <c r="C24" i="20"/>
  <c r="L21" i="13"/>
  <c r="M24" i="13" s="1"/>
  <c r="N24" i="13" s="1"/>
  <c r="O24" i="13" s="1"/>
  <c r="N19" i="13"/>
  <c r="M19" i="13" s="1"/>
  <c r="O19" i="13" s="1"/>
  <c r="L21" i="12"/>
  <c r="N19" i="12"/>
  <c r="M19" i="12" s="1"/>
  <c r="O19" i="12" s="1"/>
  <c r="M24" i="12"/>
  <c r="N24" i="12" s="1"/>
  <c r="O24" i="12" s="1"/>
  <c r="L21" i="16"/>
  <c r="M24" i="16" s="1"/>
  <c r="N24" i="16" s="1"/>
  <c r="O24" i="16" s="1"/>
  <c r="L21" i="17"/>
  <c r="M24" i="17" s="1"/>
  <c r="N24" i="17" s="1"/>
  <c r="O24" i="17" s="1"/>
  <c r="L21" i="15"/>
  <c r="N19" i="16"/>
  <c r="M19" i="16" s="1"/>
  <c r="O19" i="16" s="1"/>
  <c r="N19" i="17"/>
  <c r="M19" i="17"/>
  <c r="O19" i="17" s="1"/>
  <c r="M24" i="15"/>
  <c r="N24" i="15" s="1"/>
  <c r="O24" i="15" s="1"/>
  <c r="N19" i="15"/>
  <c r="M19" i="15"/>
  <c r="O19" i="15" s="1"/>
  <c r="L21" i="14"/>
  <c r="M24" i="14" s="1"/>
  <c r="N24" i="14" s="1"/>
  <c r="O24" i="14" s="1"/>
  <c r="L5" i="14"/>
  <c r="N19" i="14"/>
  <c r="M19" i="14" s="1"/>
  <c r="O19" i="14" s="1"/>
  <c r="L20" i="13" l="1"/>
  <c r="L22" i="13"/>
  <c r="L20" i="12"/>
  <c r="L22" i="12"/>
  <c r="L20" i="17"/>
  <c r="L22" i="17"/>
  <c r="L20" i="15"/>
  <c r="L22" i="15"/>
  <c r="L20" i="16"/>
  <c r="L22" i="16"/>
  <c r="L20" i="14"/>
  <c r="L22" i="14"/>
  <c r="D17" i="19"/>
  <c r="D16" i="19"/>
  <c r="D5" i="19"/>
  <c r="D6" i="19"/>
  <c r="D7" i="19"/>
  <c r="D4" i="19"/>
  <c r="A6" i="19"/>
  <c r="E6" i="19"/>
  <c r="H6" i="19"/>
  <c r="I6" i="19"/>
  <c r="M22" i="12" l="1"/>
  <c r="N22" i="12" s="1"/>
  <c r="O22" i="12"/>
  <c r="M22" i="13"/>
  <c r="N22" i="13" s="1"/>
  <c r="O22" i="13"/>
  <c r="O20" i="13"/>
  <c r="M20" i="13"/>
  <c r="N20" i="13" s="1"/>
  <c r="N21" i="13" s="1"/>
  <c r="M17" i="19" s="1"/>
  <c r="O20" i="12"/>
  <c r="M20" i="12"/>
  <c r="N20" i="12" s="1"/>
  <c r="N21" i="12" s="1"/>
  <c r="M16" i="19" s="1"/>
  <c r="M22" i="17"/>
  <c r="N22" i="17" s="1"/>
  <c r="O22" i="17"/>
  <c r="O20" i="17"/>
  <c r="M20" i="17"/>
  <c r="N20" i="17" s="1"/>
  <c r="M22" i="15"/>
  <c r="N22" i="15" s="1"/>
  <c r="O22" i="15"/>
  <c r="M22" i="16"/>
  <c r="N22" i="16" s="1"/>
  <c r="O22" i="16"/>
  <c r="O20" i="16"/>
  <c r="M20" i="16"/>
  <c r="N20" i="16" s="1"/>
  <c r="O20" i="15"/>
  <c r="M20" i="15"/>
  <c r="N20" i="15" s="1"/>
  <c r="M22" i="14"/>
  <c r="N22" i="14" s="1"/>
  <c r="O22" i="14"/>
  <c r="O20" i="14"/>
  <c r="M20" i="14"/>
  <c r="N20" i="14" s="1"/>
  <c r="N13" i="13"/>
  <c r="N13" i="12"/>
  <c r="N13" i="16"/>
  <c r="M13" i="16" s="1"/>
  <c r="N13" i="17"/>
  <c r="M13" i="17" s="1"/>
  <c r="N13" i="15"/>
  <c r="M13" i="15"/>
  <c r="O13" i="15" s="1"/>
  <c r="M13" i="14"/>
  <c r="O13" i="14" s="1"/>
  <c r="N13" i="14"/>
  <c r="N21" i="16" l="1"/>
  <c r="M6" i="19" s="1"/>
  <c r="N21" i="15"/>
  <c r="M5" i="19" s="1"/>
  <c r="N21" i="17"/>
  <c r="M7" i="19" s="1"/>
  <c r="N21" i="14"/>
  <c r="M4" i="19" s="1"/>
  <c r="O13" i="17"/>
  <c r="O13" i="16"/>
  <c r="U16" i="18" l="1"/>
  <c r="U15" i="18"/>
  <c r="U14" i="18"/>
  <c r="U13" i="18"/>
  <c r="N3" i="13" l="1"/>
  <c r="M13" i="13" s="1"/>
  <c r="N3" i="12"/>
  <c r="M13" i="12" s="1"/>
  <c r="N3" i="17"/>
  <c r="N3" i="16"/>
  <c r="N3" i="14"/>
  <c r="N3" i="15"/>
  <c r="L5" i="13" l="1"/>
  <c r="L5" i="12"/>
  <c r="L5" i="17"/>
  <c r="L5" i="16"/>
  <c r="L5" i="15"/>
  <c r="J15" i="18"/>
  <c r="J6" i="19" s="1"/>
  <c r="V15" i="18"/>
  <c r="Y15" i="18" s="1"/>
  <c r="A25" i="20"/>
  <c r="A24" i="20"/>
  <c r="B5" i="20"/>
  <c r="D18" i="19"/>
  <c r="N17" i="19"/>
  <c r="I17" i="19"/>
  <c r="E17" i="19"/>
  <c r="A17" i="19"/>
  <c r="N16" i="19"/>
  <c r="I16" i="19"/>
  <c r="E16" i="19"/>
  <c r="A16" i="19"/>
  <c r="D8" i="19"/>
  <c r="I7" i="19"/>
  <c r="H7" i="19"/>
  <c r="E7" i="19"/>
  <c r="A7" i="19"/>
  <c r="I5" i="19"/>
  <c r="H5" i="19"/>
  <c r="E5" i="19"/>
  <c r="A5" i="19"/>
  <c r="I4" i="19"/>
  <c r="H4" i="19"/>
  <c r="E4" i="19"/>
  <c r="A4" i="19"/>
  <c r="W34" i="18"/>
  <c r="D24" i="18"/>
  <c r="U23" i="18"/>
  <c r="V23" i="18" s="1"/>
  <c r="Y23" i="18" s="1"/>
  <c r="H23" i="18"/>
  <c r="H17" i="19" s="1"/>
  <c r="U22" i="18"/>
  <c r="V22" i="18" s="1"/>
  <c r="Y22" i="18" s="1"/>
  <c r="H22" i="18"/>
  <c r="D17" i="18"/>
  <c r="V16" i="18"/>
  <c r="Y16" i="18" s="1"/>
  <c r="J16" i="18"/>
  <c r="J7" i="19" s="1"/>
  <c r="V14" i="18"/>
  <c r="Y14" i="18" s="1"/>
  <c r="J14" i="18"/>
  <c r="J5" i="19" s="1"/>
  <c r="V13" i="18"/>
  <c r="J13" i="18"/>
  <c r="J4" i="19" s="1"/>
  <c r="K9" i="18"/>
  <c r="V9" i="18" s="1"/>
  <c r="K8" i="18"/>
  <c r="V8" i="18" s="1"/>
  <c r="J23" i="18" l="1"/>
  <c r="J17" i="19" s="1"/>
  <c r="Y13" i="18"/>
  <c r="Z12" i="18"/>
  <c r="Z21" i="18"/>
  <c r="H16" i="19"/>
  <c r="J22" i="18"/>
  <c r="J16" i="19" s="1"/>
  <c r="M18" i="19"/>
  <c r="B6" i="20"/>
  <c r="F5" i="20"/>
  <c r="G5" i="20" s="1"/>
  <c r="A5" i="20"/>
  <c r="A15" i="20"/>
  <c r="D5" i="20"/>
  <c r="B15" i="20" s="1"/>
  <c r="H5" i="20" l="1"/>
  <c r="C15" i="20"/>
  <c r="A16" i="20"/>
  <c r="B7" i="20"/>
  <c r="A6" i="20"/>
  <c r="D6" i="20"/>
  <c r="B16" i="20" s="1"/>
  <c r="F6" i="20"/>
  <c r="G6" i="20" s="1"/>
  <c r="Y24" i="18"/>
  <c r="Y25" i="18" s="1"/>
  <c r="Y17" i="18"/>
  <c r="Y18" i="18" s="1"/>
  <c r="H6" i="20" l="1"/>
  <c r="C16" i="20"/>
  <c r="F7" i="20"/>
  <c r="G7" i="20" s="1"/>
  <c r="B8" i="20"/>
  <c r="D7" i="20"/>
  <c r="B17" i="20" s="1"/>
  <c r="A17" i="20"/>
  <c r="A7" i="20"/>
  <c r="H7" i="20" l="1"/>
  <c r="C17" i="20"/>
  <c r="D8" i="20"/>
  <c r="B18" i="20" s="1"/>
  <c r="A18" i="20"/>
  <c r="B9" i="20"/>
  <c r="A8" i="20"/>
  <c r="F8" i="20"/>
  <c r="C18" i="20" s="1"/>
  <c r="H8" i="20" l="1"/>
  <c r="G8" i="20"/>
  <c r="F9" i="20"/>
  <c r="C19" i="20" s="1"/>
  <c r="B10" i="20"/>
  <c r="D9" i="20"/>
  <c r="H9" i="20" s="1"/>
  <c r="A19" i="20"/>
  <c r="A9" i="20"/>
  <c r="G9" i="20" l="1"/>
  <c r="B19" i="20"/>
  <c r="A20" i="20"/>
  <c r="A10" i="20"/>
  <c r="D10" i="20"/>
  <c r="F10" i="20"/>
  <c r="C20" i="20" s="1"/>
  <c r="H10" i="20" l="1"/>
  <c r="B20" i="20"/>
  <c r="G10" i="20"/>
  <c r="M8" i="13" l="1"/>
  <c r="N8" i="13" s="1"/>
  <c r="O8" i="13" s="1"/>
  <c r="M3" i="13"/>
  <c r="M8" i="12"/>
  <c r="N8" i="12" s="1"/>
  <c r="O8" i="12" s="1"/>
  <c r="M8" i="17"/>
  <c r="N8" i="17" s="1"/>
  <c r="O8" i="17" s="1"/>
  <c r="M3" i="17"/>
  <c r="O3" i="17" s="1"/>
  <c r="M8" i="16"/>
  <c r="N8" i="16" s="1"/>
  <c r="O8" i="16" s="1"/>
  <c r="M3" i="16"/>
  <c r="O3" i="16" s="1"/>
  <c r="M8" i="15"/>
  <c r="N8" i="15" s="1"/>
  <c r="O8" i="15" s="1"/>
  <c r="M3" i="15"/>
  <c r="O3" i="15" s="1"/>
  <c r="M3" i="14"/>
  <c r="M8" i="14"/>
  <c r="N8" i="14" s="1"/>
  <c r="O8" i="14" s="1"/>
  <c r="M3" i="12"/>
  <c r="O3" i="12" l="1"/>
  <c r="O13" i="12"/>
  <c r="O3" i="13"/>
  <c r="O13" i="13"/>
  <c r="O3" i="14"/>
  <c r="L4" i="13"/>
  <c r="L6" i="13"/>
  <c r="L4" i="17"/>
  <c r="L6" i="17"/>
  <c r="L4" i="16"/>
  <c r="L6" i="16"/>
  <c r="L4" i="15"/>
  <c r="L6" i="15"/>
  <c r="L6" i="14"/>
  <c r="L4" i="14"/>
  <c r="L4" i="12"/>
  <c r="L6" i="12"/>
  <c r="O6" i="13" l="1"/>
  <c r="M6" i="13"/>
  <c r="M4" i="13"/>
  <c r="O4" i="13"/>
  <c r="O4" i="17"/>
  <c r="M4" i="17"/>
  <c r="M6" i="17"/>
  <c r="O6" i="17"/>
  <c r="O4" i="16"/>
  <c r="M4" i="16"/>
  <c r="M6" i="16"/>
  <c r="O6" i="16"/>
  <c r="O4" i="15"/>
  <c r="M4" i="15"/>
  <c r="M6" i="15"/>
  <c r="O6" i="15"/>
  <c r="O4" i="14"/>
  <c r="M4" i="14"/>
  <c r="M6" i="14"/>
  <c r="O6" i="14"/>
  <c r="M6" i="12"/>
  <c r="O6" i="12"/>
  <c r="M4" i="12"/>
  <c r="O4" i="12"/>
  <c r="N4" i="15" l="1"/>
  <c r="N4" i="16"/>
  <c r="N4" i="17"/>
  <c r="N6" i="13"/>
  <c r="N4" i="14"/>
  <c r="N6" i="15"/>
  <c r="N4" i="13"/>
  <c r="N4" i="12"/>
  <c r="N6" i="17"/>
  <c r="N6" i="16"/>
  <c r="N6" i="14"/>
  <c r="I2" i="17"/>
  <c r="N6" i="12"/>
  <c r="I2" i="12"/>
  <c r="I2" i="15"/>
  <c r="I2" i="16"/>
  <c r="I2" i="13"/>
  <c r="I2" i="14"/>
  <c r="N5" i="16" l="1"/>
  <c r="F15" i="18" s="1"/>
  <c r="N5" i="13"/>
  <c r="F23" i="18" s="1"/>
  <c r="N5" i="17"/>
  <c r="F16" i="18" s="1"/>
  <c r="N5" i="12"/>
  <c r="F22" i="18" s="1"/>
  <c r="I9" i="20" s="1"/>
  <c r="N5" i="15"/>
  <c r="F14" i="18" s="1"/>
  <c r="N5" i="14"/>
  <c r="F13" i="18" s="1"/>
  <c r="I6" i="20" l="1"/>
  <c r="J6" i="20" s="1"/>
  <c r="I8" i="20"/>
  <c r="D18" i="20" s="1"/>
  <c r="E18" i="20" s="1"/>
  <c r="I10" i="20"/>
  <c r="J9" i="20"/>
  <c r="D19" i="20"/>
  <c r="Y9" i="18"/>
  <c r="V32" i="18" s="1"/>
  <c r="I7" i="20"/>
  <c r="F6" i="19"/>
  <c r="I5" i="20"/>
  <c r="Y8" i="18"/>
  <c r="U32" i="18" s="1"/>
  <c r="K23" i="18"/>
  <c r="G23" i="18"/>
  <c r="G17" i="19" s="1"/>
  <c r="F17" i="19"/>
  <c r="P17" i="19" s="1"/>
  <c r="Q17" i="19" s="1"/>
  <c r="F16" i="19"/>
  <c r="F24" i="18"/>
  <c r="G22" i="18"/>
  <c r="G16" i="19" s="1"/>
  <c r="K22" i="18"/>
  <c r="F7" i="19"/>
  <c r="G16" i="18"/>
  <c r="G7" i="19" s="1"/>
  <c r="K16" i="18"/>
  <c r="G15" i="18"/>
  <c r="G6" i="19" s="1"/>
  <c r="K15" i="18"/>
  <c r="K6" i="19" s="1"/>
  <c r="K14" i="18"/>
  <c r="F5" i="19"/>
  <c r="P5" i="19" s="1"/>
  <c r="Q5" i="19" s="1"/>
  <c r="G14" i="18"/>
  <c r="G5" i="19" s="1"/>
  <c r="F4" i="19"/>
  <c r="P4" i="19" s="1"/>
  <c r="Q4" i="19" s="1"/>
  <c r="F17" i="18"/>
  <c r="K13" i="18"/>
  <c r="G13" i="18"/>
  <c r="G4" i="19" s="1"/>
  <c r="J8" i="20" l="1"/>
  <c r="D16" i="20"/>
  <c r="E16" i="20" s="1"/>
  <c r="V29" i="18"/>
  <c r="V31" i="18"/>
  <c r="U29" i="18"/>
  <c r="U31" i="18"/>
  <c r="D20" i="20"/>
  <c r="E20" i="20" s="1"/>
  <c r="J10" i="20"/>
  <c r="E19" i="20"/>
  <c r="D17" i="20"/>
  <c r="E17" i="20" s="1"/>
  <c r="J7" i="20"/>
  <c r="W22" i="18"/>
  <c r="W23" i="18"/>
  <c r="X23" i="18" s="1"/>
  <c r="Z23" i="18" s="1"/>
  <c r="W15" i="18"/>
  <c r="X15" i="18" s="1"/>
  <c r="Z15" i="18" s="1"/>
  <c r="W13" i="18"/>
  <c r="W14" i="18"/>
  <c r="X14" i="18" s="1"/>
  <c r="Z14" i="18" s="1"/>
  <c r="W16" i="18"/>
  <c r="X16" i="18" s="1"/>
  <c r="Z16" i="18" s="1"/>
  <c r="D15" i="20"/>
  <c r="E15" i="20" s="1"/>
  <c r="J5" i="20"/>
  <c r="F8" i="19"/>
  <c r="P16" i="19"/>
  <c r="F18" i="19"/>
  <c r="K17" i="19"/>
  <c r="O17" i="19" s="1"/>
  <c r="K24" i="18"/>
  <c r="K16" i="19"/>
  <c r="K7" i="19"/>
  <c r="K5" i="19"/>
  <c r="O5" i="19" s="1"/>
  <c r="K4" i="19"/>
  <c r="K17" i="18"/>
  <c r="W24" i="18" l="1"/>
  <c r="X22" i="18"/>
  <c r="W17" i="18"/>
  <c r="X13" i="18"/>
  <c r="Q16" i="19"/>
  <c r="Q18" i="19" s="1"/>
  <c r="P18" i="19"/>
  <c r="P19" i="19" s="1"/>
  <c r="Q19" i="19" s="1"/>
  <c r="O19" i="19" s="1"/>
  <c r="K18" i="19"/>
  <c r="O4" i="19"/>
  <c r="K8" i="19"/>
  <c r="X17" i="18" l="1"/>
  <c r="Z13" i="18"/>
  <c r="Z17" i="18" s="1"/>
  <c r="Z18" i="18" s="1"/>
  <c r="AA12" i="18" s="1"/>
  <c r="AA15" i="18" s="1"/>
  <c r="Z22" i="18"/>
  <c r="Z24" i="18" s="1"/>
  <c r="Z25" i="18" s="1"/>
  <c r="AA21" i="18" s="1"/>
  <c r="AA23" i="18" s="1"/>
  <c r="X24" i="18"/>
  <c r="O16" i="19"/>
  <c r="O18" i="19" s="1"/>
  <c r="AA22" i="18" l="1"/>
  <c r="AA24" i="18" s="1"/>
  <c r="AA25" i="18" s="1"/>
  <c r="AB21" i="18" s="1"/>
  <c r="AC21" i="18" s="1"/>
  <c r="AA13" i="18"/>
  <c r="AA16" i="18"/>
  <c r="AA14" i="18"/>
  <c r="AA17" i="18" l="1"/>
  <c r="AA18" i="18" s="1"/>
  <c r="AB12" i="18" s="1"/>
  <c r="AB13" i="18" s="1"/>
  <c r="AB24" i="18"/>
  <c r="AB25" i="18" s="1"/>
  <c r="AB22" i="18"/>
  <c r="AB23" i="18"/>
  <c r="AD21" i="18"/>
  <c r="AC23" i="18"/>
  <c r="AC22" i="18"/>
  <c r="AC24" i="18"/>
  <c r="AC25" i="18" s="1"/>
  <c r="AB14" i="18" l="1"/>
  <c r="AB15" i="18"/>
  <c r="AB16" i="18"/>
  <c r="AE21" i="18"/>
  <c r="AD23" i="18"/>
  <c r="AD22" i="18"/>
  <c r="AD24" i="18"/>
  <c r="AD25" i="18" s="1"/>
  <c r="AB17" i="18" l="1"/>
  <c r="AB18" i="18" s="1"/>
  <c r="AC12" i="18" s="1"/>
  <c r="AF21" i="18"/>
  <c r="AE22" i="18"/>
  <c r="AE23" i="18"/>
  <c r="AE24" i="18"/>
  <c r="AE25" i="18" s="1"/>
  <c r="AC16" i="18" l="1"/>
  <c r="AC13" i="18"/>
  <c r="AC14" i="18"/>
  <c r="AC15" i="18"/>
  <c r="AG21" i="18"/>
  <c r="AF23" i="18"/>
  <c r="AF22" i="18"/>
  <c r="AF24" i="18"/>
  <c r="AF25" i="18" s="1"/>
  <c r="AC17" i="18" l="1"/>
  <c r="AC18" i="18" s="1"/>
  <c r="AD12" i="18" s="1"/>
  <c r="AE12" i="18" s="1"/>
  <c r="AH21" i="18"/>
  <c r="AG22" i="18"/>
  <c r="AG23" i="18"/>
  <c r="AG24" i="18"/>
  <c r="AG25" i="18" s="1"/>
  <c r="AD15" i="18" l="1"/>
  <c r="AD14" i="18"/>
  <c r="AD16" i="18"/>
  <c r="AD13" i="18"/>
  <c r="N5" i="19"/>
  <c r="AI21" i="18"/>
  <c r="AH23" i="18"/>
  <c r="AH22" i="18"/>
  <c r="AH24" i="18"/>
  <c r="AH25" i="18" s="1"/>
  <c r="AD17" i="18" l="1"/>
  <c r="AD18" i="18" s="1"/>
  <c r="P6" i="19"/>
  <c r="N6" i="19"/>
  <c r="N7" i="19"/>
  <c r="P7" i="19"/>
  <c r="Q7" i="19" s="1"/>
  <c r="AI23" i="18"/>
  <c r="P23" i="18" s="1"/>
  <c r="AI22" i="18"/>
  <c r="P22" i="18" s="1"/>
  <c r="AI24" i="18"/>
  <c r="AI25" i="18" s="1"/>
  <c r="AE16" i="18" l="1"/>
  <c r="P16" i="18" s="1"/>
  <c r="AE13" i="18"/>
  <c r="AE15" i="18"/>
  <c r="P15" i="18" s="1"/>
  <c r="AE14" i="18"/>
  <c r="P14" i="18" s="1"/>
  <c r="Q6" i="19"/>
  <c r="O6" i="19" s="1"/>
  <c r="P8" i="19"/>
  <c r="P9" i="19" s="1"/>
  <c r="Q9" i="19" s="1"/>
  <c r="O9" i="19" s="1"/>
  <c r="O7" i="19"/>
  <c r="Q23" i="18"/>
  <c r="O23" i="18" s="1"/>
  <c r="M23" i="18"/>
  <c r="Q22" i="18"/>
  <c r="P24" i="18"/>
  <c r="M22" i="18"/>
  <c r="V33" i="18" l="1"/>
  <c r="R24" i="18" s="1"/>
  <c r="Q14" i="18"/>
  <c r="O14" i="18" s="1"/>
  <c r="M14" i="18"/>
  <c r="Q15" i="18"/>
  <c r="O15" i="18" s="1"/>
  <c r="M15" i="18"/>
  <c r="AE17" i="18"/>
  <c r="AE18" i="18" s="1"/>
  <c r="P13" i="18"/>
  <c r="M16" i="18"/>
  <c r="Q16" i="18"/>
  <c r="O16" i="18" s="1"/>
  <c r="N7" i="20"/>
  <c r="F17" i="20" s="1"/>
  <c r="G17" i="20" s="1"/>
  <c r="N9" i="20"/>
  <c r="N8" i="20"/>
  <c r="F18" i="20" s="1"/>
  <c r="G18" i="20" s="1"/>
  <c r="N10" i="20"/>
  <c r="Q8" i="19"/>
  <c r="M8" i="19"/>
  <c r="N4" i="19"/>
  <c r="O8" i="19"/>
  <c r="N15" i="12"/>
  <c r="N22" i="18"/>
  <c r="M24" i="18"/>
  <c r="B25" i="20"/>
  <c r="Q24" i="18"/>
  <c r="O22" i="18"/>
  <c r="O24" i="18" s="1"/>
  <c r="N23" i="18"/>
  <c r="N15" i="13"/>
  <c r="N6" i="20" l="1"/>
  <c r="O6" i="20" s="1"/>
  <c r="N15" i="18"/>
  <c r="N15" i="16"/>
  <c r="N16" i="18"/>
  <c r="N15" i="17"/>
  <c r="Q13" i="18"/>
  <c r="U33" i="18" s="1"/>
  <c r="M13" i="18"/>
  <c r="P17" i="18"/>
  <c r="N14" i="18"/>
  <c r="N15" i="15"/>
  <c r="O7" i="20"/>
  <c r="O8" i="20"/>
  <c r="F19" i="20"/>
  <c r="G19" i="20" s="1"/>
  <c r="O9" i="20"/>
  <c r="O10" i="20"/>
  <c r="F20" i="20"/>
  <c r="G20" i="20" s="1"/>
  <c r="N12" i="13"/>
  <c r="M12" i="13"/>
  <c r="P12" i="13"/>
  <c r="O12" i="13"/>
  <c r="P12" i="12"/>
  <c r="M12" i="12"/>
  <c r="N12" i="12"/>
  <c r="O12" i="12"/>
  <c r="F16" i="20" l="1"/>
  <c r="G16" i="20" s="1"/>
  <c r="B24" i="20"/>
  <c r="Q17" i="18"/>
  <c r="N5" i="20"/>
  <c r="N15" i="14"/>
  <c r="N13" i="18"/>
  <c r="M17" i="18"/>
  <c r="O12" i="15"/>
  <c r="M12" i="15"/>
  <c r="N12" i="15"/>
  <c r="P12" i="15"/>
  <c r="R17" i="18"/>
  <c r="C27" i="18" s="1"/>
  <c r="O13" i="18"/>
  <c r="O17" i="18" s="1"/>
  <c r="P12" i="16"/>
  <c r="N12" i="16"/>
  <c r="M12" i="16"/>
  <c r="O12" i="16"/>
  <c r="L14" i="16" s="1"/>
  <c r="M12" i="17"/>
  <c r="O12" i="17"/>
  <c r="L14" i="17" s="1"/>
  <c r="P12" i="17"/>
  <c r="N12" i="17"/>
  <c r="P14" i="13"/>
  <c r="O14" i="13" s="1"/>
  <c r="P16" i="13" s="1"/>
  <c r="O16" i="13" s="1"/>
  <c r="L14" i="13"/>
  <c r="M14" i="13" s="1"/>
  <c r="L14" i="12"/>
  <c r="P14" i="12"/>
  <c r="O14" i="12" s="1"/>
  <c r="P16" i="12" s="1"/>
  <c r="O16" i="12" s="1"/>
  <c r="L14" i="15" l="1"/>
  <c r="O14" i="15" s="1"/>
  <c r="F15" i="20"/>
  <c r="G15" i="20" s="1"/>
  <c r="O5" i="20"/>
  <c r="O14" i="17"/>
  <c r="M14" i="17"/>
  <c r="M14" i="16"/>
  <c r="O14" i="16"/>
  <c r="O12" i="14"/>
  <c r="L14" i="14" s="1"/>
  <c r="P12" i="14"/>
  <c r="N12" i="14"/>
  <c r="M12" i="14"/>
  <c r="M14" i="12"/>
  <c r="N14" i="13"/>
  <c r="L16" i="13"/>
  <c r="M16" i="13" s="1"/>
  <c r="N16" i="13" s="1"/>
  <c r="M14" i="15" l="1"/>
  <c r="L16" i="15" s="1"/>
  <c r="L15" i="13"/>
  <c r="L23" i="18" s="1"/>
  <c r="M8" i="20" s="1"/>
  <c r="N14" i="16"/>
  <c r="L16" i="16"/>
  <c r="M14" i="14"/>
  <c r="O14" i="14"/>
  <c r="L16" i="17"/>
  <c r="N14" i="17"/>
  <c r="M10" i="20"/>
  <c r="N14" i="12"/>
  <c r="L16" i="12"/>
  <c r="M16" i="12" s="1"/>
  <c r="N16" i="12" s="1"/>
  <c r="N14" i="15" l="1"/>
  <c r="O16" i="16"/>
  <c r="M16" i="16"/>
  <c r="N16" i="16" s="1"/>
  <c r="L15" i="16" s="1"/>
  <c r="K15" i="16" s="1"/>
  <c r="L15" i="18" s="1"/>
  <c r="N14" i="14"/>
  <c r="L16" i="14"/>
  <c r="M16" i="15"/>
  <c r="N16" i="15" s="1"/>
  <c r="O16" i="15"/>
  <c r="M16" i="17"/>
  <c r="N16" i="17" s="1"/>
  <c r="L15" i="17" s="1"/>
  <c r="K15" i="17" s="1"/>
  <c r="L16" i="18" s="1"/>
  <c r="O16" i="17"/>
  <c r="L15" i="12"/>
  <c r="L22" i="18" s="1"/>
  <c r="L15" i="15" l="1"/>
  <c r="K15" i="15" s="1"/>
  <c r="L14" i="18" s="1"/>
  <c r="M6" i="20" s="1"/>
  <c r="M16" i="14"/>
  <c r="N16" i="14" s="1"/>
  <c r="L15" i="14" s="1"/>
  <c r="K15" i="14" s="1"/>
  <c r="L13" i="18" s="1"/>
  <c r="M5" i="20" s="1"/>
  <c r="O16" i="14"/>
  <c r="M7" i="20"/>
  <c r="M9" i="20"/>
</calcChain>
</file>

<file path=xl/comments1.xml><?xml version="1.0" encoding="utf-8"?>
<comments xmlns="http://schemas.openxmlformats.org/spreadsheetml/2006/main">
  <authors>
    <author>Admin</author>
    <author>Reuben Tan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Update with actual for final calculations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Update with actual for final calculations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Update with actual for final calculations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Update with actual for final calculations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Update with actual for final calculations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Update with actual for final calculations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Update with actual for final calculations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E15" authorId="1" shapeId="0">
      <text>
        <r>
          <rPr>
            <b/>
            <sz val="9"/>
            <color indexed="81"/>
            <rFont val="Tahoma"/>
            <charset val="1"/>
          </rPr>
          <t>Always check the before bunkering volume and the after bunker volume</t>
        </r>
      </text>
    </comment>
    <comment ref="L15" authorId="1" shapeId="0">
      <text>
        <r>
          <rPr>
            <b/>
            <sz val="9"/>
            <color indexed="81"/>
            <rFont val="Tahoma"/>
            <charset val="1"/>
          </rPr>
          <t>This is automatically calculated. Always check that it is within the range in the actual sounding book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</commentList>
</comments>
</file>

<file path=xl/sharedStrings.xml><?xml version="1.0" encoding="utf-8"?>
<sst xmlns="http://schemas.openxmlformats.org/spreadsheetml/2006/main" count="251" uniqueCount="100">
  <si>
    <t>¿?</t>
  </si>
  <si>
    <t>Reu</t>
  </si>
  <si>
    <t>beN</t>
  </si>
  <si>
    <t>Port:</t>
  </si>
  <si>
    <t>Date:</t>
  </si>
  <si>
    <t>Sea water Temp.</t>
  </si>
  <si>
    <t>Voy. No.</t>
  </si>
  <si>
    <t>Trim:</t>
  </si>
  <si>
    <t>Time:</t>
  </si>
  <si>
    <t>TANK</t>
  </si>
  <si>
    <t>TOTAL</t>
  </si>
  <si>
    <t>Approved by:</t>
  </si>
  <si>
    <t>Volume (m³)</t>
  </si>
  <si>
    <t>Percent        (%)</t>
  </si>
  <si>
    <t>Temp.      (ºC)</t>
  </si>
  <si>
    <t> </t>
  </si>
  <si>
    <t>3/E Reuben Tan</t>
  </si>
  <si>
    <t>Ullage Sounding (m)</t>
  </si>
  <si>
    <t>Depth Sounding (m)</t>
  </si>
  <si>
    <t>Tank Capacity (m³)</t>
  </si>
  <si>
    <t>MT</t>
  </si>
  <si>
    <t>Bunkering Plan</t>
  </si>
  <si>
    <t>Balance filling tanks?</t>
  </si>
  <si>
    <t>% required for Balance</t>
  </si>
  <si>
    <t>Bunkers to be taken</t>
  </si>
  <si>
    <t>MAX FILLING</t>
  </si>
  <si>
    <t>FO</t>
  </si>
  <si>
    <t>S.G. @ 15ºC</t>
  </si>
  <si>
    <t>Temp</t>
  </si>
  <si>
    <t>Corrected S.G.</t>
  </si>
  <si>
    <t>Estimated Trim After Bunkering</t>
  </si>
  <si>
    <t>FO m³ @ Requested</t>
  </si>
  <si>
    <t>Yes</t>
  </si>
  <si>
    <t>FILLING SEQUENCE</t>
  </si>
  <si>
    <t>Grade</t>
  </si>
  <si>
    <t>BEFORE</t>
  </si>
  <si>
    <t>AFTER</t>
  </si>
  <si>
    <t>RECEIVED</t>
  </si>
  <si>
    <t>M3</t>
  </si>
  <si>
    <t>Filling Sequence</t>
  </si>
  <si>
    <t>Priority</t>
  </si>
  <si>
    <t>m³ @ max filling</t>
  </si>
  <si>
    <t>m³ available for filling</t>
  </si>
  <si>
    <t>FO (1P)</t>
  </si>
  <si>
    <t>HSFO</t>
  </si>
  <si>
    <t>FO (1S)</t>
  </si>
  <si>
    <t>FO (2S)</t>
  </si>
  <si>
    <t>FO (2P)</t>
  </si>
  <si>
    <t>DO (1P)</t>
  </si>
  <si>
    <t>DO (1S)</t>
  </si>
  <si>
    <t>Prepared by</t>
  </si>
  <si>
    <t>Not enough space (90% is absolute max)</t>
  </si>
  <si>
    <t>Enter filling sequence</t>
  </si>
  <si>
    <t>Increase max filling</t>
  </si>
  <si>
    <t>Fill more tanks</t>
  </si>
  <si>
    <t>Fill less tanks</t>
  </si>
  <si>
    <t>Include?</t>
  </si>
  <si>
    <t>ER 004</t>
  </si>
  <si>
    <t>Volume</t>
  </si>
  <si>
    <t>Level Before Start</t>
  </si>
  <si>
    <t>Slow Down</t>
  </si>
  <si>
    <t>Expected Level after completion</t>
  </si>
  <si>
    <t>No</t>
  </si>
  <si>
    <t>Tank</t>
  </si>
  <si>
    <t>Fill Order</t>
  </si>
  <si>
    <t>100% (m3)</t>
  </si>
  <si>
    <t>85% (m3)</t>
  </si>
  <si>
    <t>Initial</t>
  </si>
  <si>
    <t xml:space="preserve">Sounding </t>
  </si>
  <si>
    <t xml:space="preserve">Expected </t>
  </si>
  <si>
    <t>Expected</t>
  </si>
  <si>
    <t>Innage (cm)</t>
  </si>
  <si>
    <t>Vol (m3)</t>
  </si>
  <si>
    <t>%</t>
  </si>
  <si>
    <t>(m)</t>
  </si>
  <si>
    <t>ER 003</t>
  </si>
  <si>
    <t>Tank No.</t>
  </si>
  <si>
    <r>
      <t xml:space="preserve">Volume of Tank @  </t>
    </r>
    <r>
      <rPr>
        <b/>
        <u/>
        <sz val="10"/>
        <color theme="1"/>
        <rFont val="Calibri"/>
        <family val="2"/>
        <scheme val="minor"/>
      </rPr>
      <t xml:space="preserve">100 </t>
    </r>
    <r>
      <rPr>
        <b/>
        <sz val="10"/>
        <color theme="1"/>
        <rFont val="Calibri"/>
        <family val="2"/>
        <scheme val="minor"/>
      </rPr>
      <t>%</t>
    </r>
  </si>
  <si>
    <t>Vol. of Oil in Tank before Loading</t>
  </si>
  <si>
    <t>Available Volume</t>
  </si>
  <si>
    <t>Volume to be Loaded</t>
  </si>
  <si>
    <t>Total Volumes Grade</t>
  </si>
  <si>
    <t>Tonnes</t>
  </si>
  <si>
    <t>Volume at Loading Temp</t>
  </si>
  <si>
    <t>Loading Temperature</t>
  </si>
  <si>
    <t>Maximum Transfer Rate</t>
  </si>
  <si>
    <t>Maximum Line Pressure</t>
  </si>
  <si>
    <t>MDO</t>
  </si>
  <si>
    <t>0.9837</t>
  </si>
  <si>
    <t>0.9838</t>
  </si>
  <si>
    <t>0.8586</t>
  </si>
  <si>
    <t>LPG/C KENTMERE</t>
  </si>
  <si>
    <r>
      <t>3.0 kg/cm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</si>
  <si>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150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</t>
    </r>
  </si>
  <si>
    <r>
      <t>50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</t>
    </r>
  </si>
  <si>
    <t>IFO</t>
  </si>
  <si>
    <t>MDO m³ @ Requested</t>
  </si>
  <si>
    <t>R2</t>
  </si>
  <si>
    <t>dT</t>
  </si>
  <si>
    <t>Overide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</si>
</sst>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##.0&quot;%&quot;"/>
    <numFmt numFmtId="167" formatCode="0.00\ &quot;m³&quot;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sz val="14"/>
      <color indexed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36"/>
      <color rgb="FFFF0000"/>
      <name val="Calibri"/>
      <family val="2"/>
      <scheme val="minor"/>
    </font>
    <font>
      <sz val="10.1"/>
      <color rgb="FF444444"/>
      <name val="Segoe U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285">
    <xf numFmtId="0" fontId="0" fillId="0" borderId="0" xfId="0"/>
    <xf numFmtId="2" fontId="8" fillId="0" borderId="0" xfId="1" applyNumberFormat="1" applyFont="1" applyProtection="1">
      <protection hidden="1"/>
    </xf>
    <xf numFmtId="2" fontId="1" fillId="0" borderId="0" xfId="1" applyNumberFormat="1"/>
    <xf numFmtId="2" fontId="1" fillId="0" borderId="0" xfId="1" applyNumberFormat="1" applyFont="1"/>
    <xf numFmtId="0" fontId="1" fillId="0" borderId="0" xfId="1"/>
    <xf numFmtId="2" fontId="1" fillId="0" borderId="0" xfId="1" applyNumberFormat="1" applyProtection="1"/>
    <xf numFmtId="164" fontId="1" fillId="0" borderId="0" xfId="1" applyNumberFormat="1"/>
    <xf numFmtId="2" fontId="8" fillId="0" borderId="0" xfId="1" applyNumberFormat="1" applyFont="1"/>
    <xf numFmtId="2" fontId="1" fillId="0" borderId="0" xfId="1" applyNumberFormat="1" applyFont="1" applyFill="1"/>
    <xf numFmtId="0" fontId="3" fillId="0" borderId="0" xfId="3" applyFont="1" applyFill="1" applyProtection="1"/>
    <xf numFmtId="0" fontId="11" fillId="0" borderId="0" xfId="3" applyFont="1" applyFill="1" applyAlignment="1" applyProtection="1">
      <alignment wrapText="1"/>
    </xf>
    <xf numFmtId="0" fontId="3" fillId="0" borderId="0" xfId="3" applyFont="1" applyFill="1" applyAlignment="1" applyProtection="1">
      <alignment horizontal="right"/>
    </xf>
    <xf numFmtId="0" fontId="3" fillId="0" borderId="0" xfId="3" applyFont="1" applyFill="1" applyAlignment="1" applyProtection="1">
      <alignment horizontal="left"/>
    </xf>
    <xf numFmtId="0" fontId="12" fillId="0" borderId="0" xfId="3" applyNumberFormat="1" applyFont="1" applyFill="1" applyAlignment="1" applyProtection="1">
      <alignment horizontal="center"/>
    </xf>
    <xf numFmtId="0" fontId="13" fillId="0" borderId="0" xfId="3" applyNumberFormat="1" applyFont="1" applyFill="1" applyAlignment="1" applyProtection="1">
      <alignment horizontal="center"/>
    </xf>
    <xf numFmtId="0" fontId="14" fillId="0" borderId="0" xfId="3" applyFont="1" applyFill="1" applyAlignment="1" applyProtection="1">
      <alignment horizontal="left"/>
    </xf>
    <xf numFmtId="49" fontId="3" fillId="0" borderId="0" xfId="3" applyNumberFormat="1" applyFont="1" applyFill="1" applyBorder="1" applyAlignment="1" applyProtection="1"/>
    <xf numFmtId="0" fontId="4" fillId="0" borderId="0" xfId="3" applyFont="1" applyFill="1" applyBorder="1" applyAlignment="1" applyProtection="1"/>
    <xf numFmtId="15" fontId="14" fillId="0" borderId="0" xfId="3" applyNumberFormat="1" applyFont="1" applyFill="1" applyBorder="1" applyAlignment="1" applyProtection="1"/>
    <xf numFmtId="0" fontId="16" fillId="0" borderId="2" xfId="3" applyFont="1" applyFill="1" applyBorder="1" applyAlignment="1" applyProtection="1">
      <alignment horizontal="center" vertical="center"/>
      <protection locked="0"/>
    </xf>
    <xf numFmtId="0" fontId="16" fillId="0" borderId="0" xfId="3" applyFont="1" applyFill="1" applyBorder="1" applyAlignment="1" applyProtection="1">
      <alignment horizontal="center" vertical="center"/>
    </xf>
    <xf numFmtId="0" fontId="14" fillId="0" borderId="0" xfId="3" applyFont="1" applyFill="1" applyBorder="1" applyAlignment="1" applyProtection="1">
      <alignment horizontal="center" vertical="center"/>
    </xf>
    <xf numFmtId="0" fontId="3" fillId="0" borderId="0" xfId="3" applyFont="1" applyFill="1" applyBorder="1" applyAlignment="1" applyProtection="1">
      <alignment horizontal="left"/>
    </xf>
    <xf numFmtId="0" fontId="14" fillId="0" borderId="0" xfId="3" applyFont="1" applyFill="1" applyBorder="1" applyAlignment="1" applyProtection="1">
      <alignment horizontal="left"/>
    </xf>
    <xf numFmtId="2" fontId="16" fillId="0" borderId="3" xfId="3" applyNumberFormat="1" applyFont="1" applyFill="1" applyBorder="1" applyAlignment="1" applyProtection="1">
      <alignment horizontal="center" vertical="center"/>
      <protection locked="0"/>
    </xf>
    <xf numFmtId="2" fontId="16" fillId="0" borderId="0" xfId="3" applyNumberFormat="1" applyFont="1" applyFill="1" applyBorder="1" applyAlignment="1" applyProtection="1">
      <alignment horizontal="center" vertical="center"/>
    </xf>
    <xf numFmtId="2" fontId="14" fillId="0" borderId="0" xfId="3" applyNumberFormat="1" applyFont="1" applyFill="1" applyBorder="1" applyAlignment="1" applyProtection="1">
      <alignment horizontal="center" vertical="center"/>
    </xf>
    <xf numFmtId="0" fontId="6" fillId="0" borderId="0" xfId="3" applyFont="1" applyFill="1" applyAlignment="1" applyProtection="1">
      <alignment horizontal="center" vertical="center"/>
    </xf>
    <xf numFmtId="2" fontId="14" fillId="0" borderId="0" xfId="3" applyNumberFormat="1" applyFont="1" applyFill="1" applyBorder="1" applyAlignment="1" applyProtection="1">
      <alignment horizontal="left"/>
    </xf>
    <xf numFmtId="2" fontId="6" fillId="0" borderId="0" xfId="3" applyNumberFormat="1" applyFont="1" applyFill="1" applyBorder="1" applyAlignment="1" applyProtection="1">
      <alignment horizontal="left"/>
    </xf>
    <xf numFmtId="2" fontId="16" fillId="0" borderId="9" xfId="3" applyNumberFormat="1" applyFont="1" applyFill="1" applyBorder="1" applyAlignment="1" applyProtection="1">
      <alignment horizontal="center" vertical="center"/>
      <protection locked="0"/>
    </xf>
    <xf numFmtId="0" fontId="17" fillId="0" borderId="3" xfId="3" applyFont="1" applyFill="1" applyBorder="1" applyAlignment="1" applyProtection="1">
      <alignment horizontal="center" vertical="center" wrapText="1"/>
    </xf>
    <xf numFmtId="0" fontId="16" fillId="0" borderId="10" xfId="3" applyNumberFormat="1" applyFont="1" applyFill="1" applyBorder="1" applyAlignment="1" applyProtection="1">
      <alignment horizontal="center" vertical="center"/>
      <protection locked="0"/>
    </xf>
    <xf numFmtId="0" fontId="16" fillId="0" borderId="9" xfId="3" applyFont="1" applyFill="1" applyBorder="1" applyAlignment="1" applyProtection="1">
      <alignment horizontal="center" vertical="center"/>
      <protection locked="0"/>
    </xf>
    <xf numFmtId="0" fontId="6" fillId="0" borderId="0" xfId="3" applyFont="1" applyFill="1" applyBorder="1" applyAlignment="1" applyProtection="1">
      <alignment horizontal="center" vertical="center" wrapText="1" shrinkToFit="1"/>
    </xf>
    <xf numFmtId="165" fontId="14" fillId="2" borderId="0" xfId="3" applyNumberFormat="1" applyFont="1" applyFill="1" applyBorder="1" applyAlignment="1" applyProtection="1">
      <alignment horizontal="center" vertical="center"/>
    </xf>
    <xf numFmtId="0" fontId="18" fillId="0" borderId="0" xfId="3" applyFont="1" applyFill="1" applyBorder="1" applyAlignment="1" applyProtection="1">
      <alignment horizontal="center" vertical="center"/>
    </xf>
    <xf numFmtId="0" fontId="16" fillId="0" borderId="11" xfId="3" applyFont="1" applyFill="1" applyBorder="1" applyAlignment="1" applyProtection="1">
      <alignment horizontal="center" vertical="center"/>
      <protection locked="0"/>
    </xf>
    <xf numFmtId="0" fontId="16" fillId="3" borderId="12" xfId="3" applyFont="1" applyFill="1" applyBorder="1" applyAlignment="1" applyProtection="1">
      <alignment horizontal="center" vertical="center"/>
      <protection locked="0"/>
    </xf>
    <xf numFmtId="166" fontId="16" fillId="3" borderId="9" xfId="3" applyNumberFormat="1" applyFont="1" applyFill="1" applyBorder="1" applyAlignment="1" applyProtection="1">
      <alignment horizontal="center" vertical="center"/>
      <protection locked="0"/>
    </xf>
    <xf numFmtId="10" fontId="3" fillId="0" borderId="0" xfId="3" applyNumberFormat="1" applyFont="1" applyFill="1" applyAlignment="1" applyProtection="1">
      <alignment horizontal="center" vertical="center"/>
    </xf>
    <xf numFmtId="165" fontId="16" fillId="0" borderId="11" xfId="3" applyNumberFormat="1" applyFont="1" applyFill="1" applyBorder="1" applyAlignment="1" applyProtection="1">
      <alignment horizontal="center" vertical="center"/>
      <protection locked="0"/>
    </xf>
    <xf numFmtId="0" fontId="14" fillId="0" borderId="0" xfId="3" applyFont="1" applyFill="1" applyAlignment="1" applyProtection="1">
      <alignment horizontal="center" vertical="center"/>
    </xf>
    <xf numFmtId="0" fontId="16" fillId="3" borderId="9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Alignment="1" applyProtection="1"/>
    <xf numFmtId="0" fontId="3" fillId="0" borderId="0" xfId="3" applyFont="1" applyFill="1" applyBorder="1" applyAlignment="1" applyProtection="1"/>
    <xf numFmtId="0" fontId="6" fillId="0" borderId="0" xfId="3" applyFont="1" applyFill="1" applyBorder="1" applyAlignment="1" applyProtection="1">
      <alignment horizontal="center" vertical="center"/>
    </xf>
    <xf numFmtId="0" fontId="6" fillId="0" borderId="0" xfId="4" applyFont="1" applyBorder="1" applyAlignment="1" applyProtection="1">
      <alignment horizontal="center" vertical="center" wrapText="1"/>
    </xf>
    <xf numFmtId="0" fontId="6" fillId="0" borderId="0" xfId="3" applyFont="1" applyFill="1" applyBorder="1" applyAlignment="1" applyProtection="1">
      <alignment horizontal="center" vertical="center" wrapText="1"/>
    </xf>
    <xf numFmtId="0" fontId="3" fillId="0" borderId="0" xfId="3" applyFont="1" applyFill="1" applyBorder="1" applyProtection="1"/>
    <xf numFmtId="0" fontId="19" fillId="0" borderId="25" xfId="3" applyFont="1" applyFill="1" applyBorder="1" applyAlignment="1" applyProtection="1">
      <alignment horizontal="center" vertical="center" wrapText="1"/>
    </xf>
    <xf numFmtId="0" fontId="19" fillId="0" borderId="26" xfId="3" applyFont="1" applyFill="1" applyBorder="1" applyAlignment="1" applyProtection="1">
      <alignment horizontal="center" vertical="center" wrapText="1"/>
    </xf>
    <xf numFmtId="0" fontId="19" fillId="0" borderId="27" xfId="3" applyFont="1" applyFill="1" applyBorder="1" applyAlignment="1" applyProtection="1">
      <alignment horizontal="center" vertical="center" wrapText="1"/>
    </xf>
    <xf numFmtId="0" fontId="19" fillId="0" borderId="28" xfId="3" applyFont="1" applyFill="1" applyBorder="1" applyAlignment="1" applyProtection="1">
      <alignment horizontal="center" vertical="center"/>
    </xf>
    <xf numFmtId="0" fontId="19" fillId="0" borderId="27" xfId="3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0" fontId="6" fillId="0" borderId="0" xfId="3" applyFont="1" applyFill="1" applyAlignment="1" applyProtection="1">
      <alignment horizontal="center"/>
    </xf>
    <xf numFmtId="0" fontId="6" fillId="0" borderId="0" xfId="3" applyFont="1" applyFill="1" applyBorder="1" applyAlignment="1" applyProtection="1">
      <alignment horizontal="center" wrapText="1"/>
    </xf>
    <xf numFmtId="0" fontId="20" fillId="0" borderId="29" xfId="3" applyFont="1" applyFill="1" applyBorder="1" applyAlignment="1" applyProtection="1">
      <alignment horizontal="center" vertical="center"/>
      <protection locked="0"/>
    </xf>
    <xf numFmtId="0" fontId="17" fillId="0" borderId="29" xfId="3" applyFont="1" applyFill="1" applyBorder="1" applyAlignment="1" applyProtection="1">
      <alignment horizontal="center" wrapText="1"/>
      <protection locked="0"/>
    </xf>
    <xf numFmtId="0" fontId="14" fillId="0" borderId="30" xfId="3" applyFont="1" applyFill="1" applyBorder="1" applyAlignment="1" applyProtection="1">
      <alignment horizontal="center" vertical="center"/>
      <protection locked="0"/>
    </xf>
    <xf numFmtId="0" fontId="14" fillId="0" borderId="31" xfId="3" applyFont="1" applyFill="1" applyBorder="1" applyAlignment="1" applyProtection="1">
      <alignment horizontal="center" vertical="center"/>
    </xf>
    <xf numFmtId="2" fontId="21" fillId="0" borderId="32" xfId="3" applyNumberFormat="1" applyFont="1" applyFill="1" applyBorder="1" applyAlignment="1" applyProtection="1">
      <alignment horizontal="center"/>
      <protection locked="0"/>
    </xf>
    <xf numFmtId="2" fontId="14" fillId="0" borderId="4" xfId="3" applyNumberFormat="1" applyFont="1" applyFill="1" applyBorder="1" applyAlignment="1" applyProtection="1">
      <alignment horizontal="center"/>
    </xf>
    <xf numFmtId="10" fontId="14" fillId="0" borderId="4" xfId="3" applyNumberFormat="1" applyFont="1" applyFill="1" applyBorder="1" applyAlignment="1" applyProtection="1">
      <alignment horizontal="center"/>
    </xf>
    <xf numFmtId="0" fontId="21" fillId="0" borderId="4" xfId="3" applyFont="1" applyFill="1" applyBorder="1" applyAlignment="1" applyProtection="1">
      <alignment horizontal="center"/>
      <protection locked="0"/>
    </xf>
    <xf numFmtId="49" fontId="21" fillId="0" borderId="4" xfId="3" applyNumberFormat="1" applyFont="1" applyFill="1" applyBorder="1" applyAlignment="1" applyProtection="1">
      <alignment horizontal="center"/>
      <protection locked="0"/>
    </xf>
    <xf numFmtId="165" fontId="14" fillId="0" borderId="4" xfId="3" applyNumberFormat="1" applyFont="1" applyBorder="1" applyAlignment="1" applyProtection="1">
      <alignment horizontal="center"/>
    </xf>
    <xf numFmtId="2" fontId="14" fillId="0" borderId="33" xfId="3" applyNumberFormat="1" applyFont="1" applyBorder="1" applyAlignment="1" applyProtection="1">
      <alignment horizontal="center"/>
    </xf>
    <xf numFmtId="2" fontId="14" fillId="0" borderId="32" xfId="3" applyNumberFormat="1" applyFont="1" applyFill="1" applyBorder="1" applyAlignment="1" applyProtection="1">
      <alignment horizontal="center"/>
    </xf>
    <xf numFmtId="2" fontId="17" fillId="0" borderId="33" xfId="3" applyNumberFormat="1" applyFont="1" applyFill="1" applyBorder="1" applyAlignment="1" applyProtection="1">
      <alignment horizontal="center"/>
    </xf>
    <xf numFmtId="0" fontId="14" fillId="0" borderId="0" xfId="3" applyFont="1" applyFill="1" applyProtection="1">
      <protection locked="0"/>
    </xf>
    <xf numFmtId="0" fontId="22" fillId="0" borderId="0" xfId="3" applyFont="1" applyFill="1" applyAlignment="1" applyProtection="1">
      <alignment shrinkToFit="1"/>
      <protection hidden="1"/>
    </xf>
    <xf numFmtId="0" fontId="3" fillId="0" borderId="0" xfId="3" applyFont="1" applyFill="1" applyAlignment="1" applyProtection="1">
      <alignment horizontal="center" vertical="center"/>
    </xf>
    <xf numFmtId="2" fontId="3" fillId="0" borderId="0" xfId="3" applyNumberFormat="1" applyFont="1" applyFill="1" applyBorder="1" applyAlignment="1" applyProtection="1">
      <alignment horizontal="center" vertical="center"/>
    </xf>
    <xf numFmtId="2" fontId="3" fillId="0" borderId="0" xfId="3" applyNumberFormat="1" applyFont="1" applyFill="1" applyBorder="1" applyProtection="1"/>
    <xf numFmtId="0" fontId="20" fillId="0" borderId="34" xfId="3" applyFont="1" applyFill="1" applyBorder="1" applyAlignment="1" applyProtection="1">
      <alignment horizontal="center" vertical="center"/>
      <protection locked="0"/>
    </xf>
    <xf numFmtId="0" fontId="23" fillId="0" borderId="34" xfId="3" applyFont="1" applyFill="1" applyBorder="1" applyAlignment="1" applyProtection="1">
      <alignment horizontal="center" wrapText="1"/>
      <protection locked="0"/>
    </xf>
    <xf numFmtId="0" fontId="14" fillId="0" borderId="34" xfId="3" applyFont="1" applyFill="1" applyBorder="1" applyAlignment="1" applyProtection="1">
      <alignment horizontal="center" vertical="center"/>
      <protection locked="0"/>
    </xf>
    <xf numFmtId="0" fontId="14" fillId="0" borderId="35" xfId="3" applyFont="1" applyFill="1" applyBorder="1" applyAlignment="1" applyProtection="1">
      <alignment horizontal="center" vertical="center"/>
    </xf>
    <xf numFmtId="2" fontId="21" fillId="0" borderId="36" xfId="3" applyNumberFormat="1" applyFont="1" applyFill="1" applyBorder="1" applyAlignment="1" applyProtection="1">
      <alignment horizontal="center"/>
      <protection locked="0"/>
    </xf>
    <xf numFmtId="2" fontId="14" fillId="0" borderId="5" xfId="3" applyNumberFormat="1" applyFont="1" applyFill="1" applyBorder="1" applyAlignment="1" applyProtection="1">
      <alignment horizontal="center"/>
    </xf>
    <xf numFmtId="10" fontId="14" fillId="0" borderId="5" xfId="3" applyNumberFormat="1" applyFont="1" applyFill="1" applyBorder="1" applyAlignment="1" applyProtection="1">
      <alignment horizontal="center"/>
    </xf>
    <xf numFmtId="0" fontId="21" fillId="0" borderId="5" xfId="3" applyFont="1" applyFill="1" applyBorder="1" applyAlignment="1" applyProtection="1">
      <alignment horizontal="center"/>
      <protection locked="0"/>
    </xf>
    <xf numFmtId="49" fontId="21" fillId="0" borderId="5" xfId="3" applyNumberFormat="1" applyFont="1" applyFill="1" applyBorder="1" applyAlignment="1" applyProtection="1">
      <alignment horizontal="center"/>
      <protection locked="0"/>
    </xf>
    <xf numFmtId="165" fontId="14" fillId="0" borderId="5" xfId="3" applyNumberFormat="1" applyFont="1" applyBorder="1" applyAlignment="1" applyProtection="1">
      <alignment horizontal="center"/>
    </xf>
    <xf numFmtId="2" fontId="14" fillId="0" borderId="37" xfId="3" applyNumberFormat="1" applyFont="1" applyBorder="1" applyAlignment="1" applyProtection="1">
      <alignment horizontal="center"/>
    </xf>
    <xf numFmtId="2" fontId="14" fillId="0" borderId="36" xfId="3" applyNumberFormat="1" applyFont="1" applyFill="1" applyBorder="1" applyAlignment="1" applyProtection="1">
      <alignment horizontal="center"/>
    </xf>
    <xf numFmtId="2" fontId="17" fillId="0" borderId="37" xfId="3" applyNumberFormat="1" applyFont="1" applyFill="1" applyBorder="1" applyAlignment="1" applyProtection="1">
      <alignment horizontal="center"/>
    </xf>
    <xf numFmtId="0" fontId="20" fillId="0" borderId="38" xfId="3" applyFont="1" applyFill="1" applyBorder="1" applyAlignment="1" applyProtection="1">
      <alignment horizontal="center" vertical="center"/>
      <protection locked="0"/>
    </xf>
    <xf numFmtId="0" fontId="17" fillId="0" borderId="38" xfId="3" applyFont="1" applyFill="1" applyBorder="1" applyAlignment="1" applyProtection="1">
      <alignment horizontal="center" wrapText="1"/>
      <protection locked="0"/>
    </xf>
    <xf numFmtId="0" fontId="14" fillId="0" borderId="39" xfId="3" applyFont="1" applyFill="1" applyBorder="1" applyAlignment="1" applyProtection="1">
      <alignment horizontal="center" vertical="center"/>
    </xf>
    <xf numFmtId="2" fontId="21" fillId="0" borderId="40" xfId="3" applyNumberFormat="1" applyFont="1" applyFill="1" applyBorder="1" applyAlignment="1" applyProtection="1">
      <alignment horizontal="center"/>
      <protection locked="0"/>
    </xf>
    <xf numFmtId="2" fontId="14" fillId="0" borderId="41" xfId="3" applyNumberFormat="1" applyFont="1" applyFill="1" applyBorder="1" applyAlignment="1" applyProtection="1">
      <alignment horizontal="center"/>
    </xf>
    <xf numFmtId="10" fontId="14" fillId="0" borderId="41" xfId="3" applyNumberFormat="1" applyFont="1" applyFill="1" applyBorder="1" applyAlignment="1" applyProtection="1">
      <alignment horizontal="center"/>
    </xf>
    <xf numFmtId="0" fontId="21" fillId="0" borderId="41" xfId="3" applyFont="1" applyFill="1" applyBorder="1" applyAlignment="1" applyProtection="1">
      <alignment horizontal="center"/>
      <protection locked="0"/>
    </xf>
    <xf numFmtId="49" fontId="21" fillId="0" borderId="41" xfId="3" applyNumberFormat="1" applyFont="1" applyFill="1" applyBorder="1" applyAlignment="1" applyProtection="1">
      <alignment horizontal="center"/>
      <protection locked="0"/>
    </xf>
    <xf numFmtId="165" fontId="14" fillId="0" borderId="41" xfId="3" applyNumberFormat="1" applyFont="1" applyBorder="1" applyAlignment="1" applyProtection="1">
      <alignment horizontal="center"/>
    </xf>
    <xf numFmtId="2" fontId="14" fillId="0" borderId="42" xfId="3" applyNumberFormat="1" applyFont="1" applyBorder="1" applyAlignment="1" applyProtection="1">
      <alignment horizontal="center"/>
    </xf>
    <xf numFmtId="2" fontId="14" fillId="0" borderId="40" xfId="3" applyNumberFormat="1" applyFont="1" applyFill="1" applyBorder="1" applyAlignment="1" applyProtection="1">
      <alignment horizontal="center"/>
    </xf>
    <xf numFmtId="2" fontId="17" fillId="0" borderId="42" xfId="3" applyNumberFormat="1" applyFont="1" applyFill="1" applyBorder="1" applyAlignment="1" applyProtection="1">
      <alignment horizontal="center"/>
    </xf>
    <xf numFmtId="0" fontId="3" fillId="0" borderId="0" xfId="3" applyFont="1" applyFill="1" applyAlignment="1" applyProtection="1">
      <alignment shrinkToFit="1"/>
      <protection hidden="1"/>
    </xf>
    <xf numFmtId="0" fontId="17" fillId="0" borderId="0" xfId="3" applyFont="1" applyFill="1" applyBorder="1" applyProtection="1"/>
    <xf numFmtId="0" fontId="17" fillId="0" borderId="23" xfId="3" applyFont="1" applyFill="1" applyBorder="1" applyAlignment="1" applyProtection="1">
      <alignment horizontal="center" vertical="center" wrapText="1"/>
    </xf>
    <xf numFmtId="0" fontId="17" fillId="0" borderId="0" xfId="3" applyFont="1" applyFill="1" applyProtection="1"/>
    <xf numFmtId="0" fontId="17" fillId="0" borderId="23" xfId="3" applyFont="1" applyFill="1" applyBorder="1" applyAlignment="1" applyProtection="1">
      <alignment horizontal="center" vertical="center"/>
    </xf>
    <xf numFmtId="0" fontId="17" fillId="0" borderId="0" xfId="3" applyFont="1" applyFill="1" applyBorder="1" applyAlignment="1" applyProtection="1">
      <alignment horizontal="center" vertical="center"/>
    </xf>
    <xf numFmtId="2" fontId="17" fillId="0" borderId="23" xfId="3" applyNumberFormat="1" applyFont="1" applyFill="1" applyBorder="1" applyAlignment="1" applyProtection="1">
      <alignment horizontal="center" vertical="center"/>
    </xf>
    <xf numFmtId="2" fontId="17" fillId="0" borderId="43" xfId="3" applyNumberFormat="1" applyFont="1" applyFill="1" applyBorder="1" applyAlignment="1" applyProtection="1">
      <alignment horizontal="center" vertical="center"/>
    </xf>
    <xf numFmtId="2" fontId="17" fillId="4" borderId="23" xfId="3" applyNumberFormat="1" applyFont="1" applyFill="1" applyBorder="1" applyAlignment="1" applyProtection="1">
      <alignment horizontal="center" vertical="center"/>
    </xf>
    <xf numFmtId="2" fontId="17" fillId="0" borderId="0" xfId="3" applyNumberFormat="1" applyFont="1" applyFill="1" applyBorder="1" applyAlignment="1" applyProtection="1">
      <alignment horizontal="center" vertical="center"/>
    </xf>
    <xf numFmtId="2" fontId="17" fillId="0" borderId="0" xfId="3" applyNumberFormat="1" applyFont="1" applyFill="1" applyBorder="1" applyProtection="1"/>
    <xf numFmtId="0" fontId="24" fillId="0" borderId="0" xfId="3" applyFont="1" applyFill="1" applyBorder="1" applyAlignment="1" applyProtection="1">
      <alignment horizontal="center" vertical="center" wrapText="1"/>
    </xf>
    <xf numFmtId="0" fontId="5" fillId="0" borderId="0" xfId="3" applyFont="1" applyFill="1" applyBorder="1" applyAlignment="1" applyProtection="1">
      <alignment horizontal="center" vertical="center"/>
    </xf>
    <xf numFmtId="2" fontId="24" fillId="0" borderId="0" xfId="3" applyNumberFormat="1" applyFont="1" applyFill="1" applyBorder="1" applyAlignment="1" applyProtection="1">
      <alignment horizontal="center" vertical="center"/>
    </xf>
    <xf numFmtId="0" fontId="24" fillId="0" borderId="0" xfId="3" applyFont="1" applyFill="1" applyBorder="1" applyAlignment="1" applyProtection="1">
      <alignment horizontal="center" vertical="center"/>
    </xf>
    <xf numFmtId="2" fontId="3" fillId="0" borderId="0" xfId="3" applyNumberFormat="1" applyFont="1" applyFill="1" applyAlignment="1" applyProtection="1">
      <alignment horizontal="center" vertical="center"/>
    </xf>
    <xf numFmtId="0" fontId="3" fillId="0" borderId="0" xfId="3" applyFont="1" applyFill="1" applyBorder="1" applyAlignment="1" applyProtection="1">
      <alignment horizontal="center" vertical="center"/>
    </xf>
    <xf numFmtId="0" fontId="3" fillId="0" borderId="0" xfId="4" applyFont="1" applyBorder="1" applyAlignment="1" applyProtection="1">
      <alignment horizontal="center" vertical="center" wrapText="1"/>
    </xf>
    <xf numFmtId="0" fontId="3" fillId="0" borderId="0" xfId="3" applyFont="1" applyFill="1" applyBorder="1" applyAlignment="1" applyProtection="1">
      <alignment horizontal="center" vertical="center" wrapText="1"/>
    </xf>
    <xf numFmtId="0" fontId="19" fillId="0" borderId="25" xfId="3" applyFont="1" applyFill="1" applyBorder="1" applyAlignment="1" applyProtection="1">
      <alignment horizontal="center" vertical="center"/>
    </xf>
    <xf numFmtId="0" fontId="14" fillId="0" borderId="0" xfId="3" applyFont="1" applyFill="1" applyProtection="1"/>
    <xf numFmtId="0" fontId="3" fillId="0" borderId="34" xfId="3" applyFont="1" applyFill="1" applyBorder="1" applyAlignment="1" applyProtection="1">
      <alignment horizontal="center" vertical="center"/>
      <protection locked="0"/>
    </xf>
    <xf numFmtId="0" fontId="17" fillId="0" borderId="34" xfId="3" applyFont="1" applyFill="1" applyBorder="1" applyAlignment="1" applyProtection="1">
      <alignment horizontal="center" wrapText="1"/>
      <protection locked="0"/>
    </xf>
    <xf numFmtId="0" fontId="14" fillId="0" borderId="3" xfId="3" applyNumberFormat="1" applyFont="1" applyFill="1" applyBorder="1" applyAlignment="1" applyProtection="1">
      <alignment horizontal="center" vertical="center"/>
    </xf>
    <xf numFmtId="2" fontId="15" fillId="0" borderId="5" xfId="3" applyNumberFormat="1" applyFont="1" applyFill="1" applyBorder="1" applyAlignment="1" applyProtection="1">
      <alignment horizontal="center"/>
    </xf>
    <xf numFmtId="1" fontId="15" fillId="0" borderId="5" xfId="3" applyNumberFormat="1" applyFont="1" applyFill="1" applyBorder="1" applyAlignment="1" applyProtection="1">
      <alignment horizontal="center"/>
    </xf>
    <xf numFmtId="49" fontId="21" fillId="0" borderId="5" xfId="0" applyNumberFormat="1" applyFont="1" applyFill="1" applyBorder="1" applyAlignment="1" applyProtection="1">
      <alignment horizontal="center"/>
      <protection locked="0"/>
    </xf>
    <xf numFmtId="165" fontId="15" fillId="0" borderId="5" xfId="3" applyNumberFormat="1" applyFont="1" applyFill="1" applyBorder="1" applyAlignment="1" applyProtection="1">
      <alignment horizontal="center"/>
    </xf>
    <xf numFmtId="2" fontId="15" fillId="0" borderId="37" xfId="3" applyNumberFormat="1" applyFont="1" applyFill="1" applyBorder="1" applyAlignment="1" applyProtection="1">
      <alignment horizontal="center"/>
    </xf>
    <xf numFmtId="2" fontId="14" fillId="0" borderId="6" xfId="3" applyNumberFormat="1" applyFont="1" applyFill="1" applyBorder="1" applyAlignment="1" applyProtection="1">
      <alignment horizontal="center"/>
    </xf>
    <xf numFmtId="2" fontId="14" fillId="0" borderId="8" xfId="3" applyNumberFormat="1" applyFont="1" applyBorder="1" applyAlignment="1" applyProtection="1">
      <alignment horizontal="center"/>
    </xf>
    <xf numFmtId="2" fontId="14" fillId="0" borderId="37" xfId="3" applyNumberFormat="1" applyFont="1" applyFill="1" applyBorder="1" applyAlignment="1" applyProtection="1">
      <alignment horizontal="center"/>
    </xf>
    <xf numFmtId="0" fontId="22" fillId="0" borderId="0" xfId="3" applyFont="1" applyFill="1" applyAlignment="1" applyProtection="1">
      <alignment shrinkToFit="1"/>
    </xf>
    <xf numFmtId="0" fontId="6" fillId="0" borderId="0" xfId="3" applyFont="1" applyFill="1" applyProtection="1"/>
    <xf numFmtId="0" fontId="17" fillId="0" borderId="48" xfId="3" applyFont="1" applyFill="1" applyBorder="1" applyAlignment="1" applyProtection="1">
      <alignment horizontal="center" vertical="center"/>
    </xf>
    <xf numFmtId="1" fontId="17" fillId="0" borderId="0" xfId="3" applyNumberFormat="1" applyFont="1" applyFill="1" applyBorder="1" applyAlignment="1" applyProtection="1">
      <alignment horizontal="center" vertical="center"/>
    </xf>
    <xf numFmtId="2" fontId="17" fillId="4" borderId="49" xfId="3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Protection="1"/>
    <xf numFmtId="2" fontId="3" fillId="0" borderId="0" xfId="3" applyNumberFormat="1" applyFont="1" applyFill="1" applyProtection="1"/>
    <xf numFmtId="0" fontId="14" fillId="0" borderId="0" xfId="3" applyFont="1" applyFill="1" applyAlignment="1" applyProtection="1">
      <alignment wrapText="1"/>
    </xf>
    <xf numFmtId="0" fontId="26" fillId="0" borderId="0" xfId="0" applyFont="1" applyFill="1" applyBorder="1" applyAlignment="1" applyProtection="1">
      <alignment horizontal="right" vertical="top" wrapText="1"/>
    </xf>
    <xf numFmtId="0" fontId="26" fillId="0" borderId="0" xfId="0" applyFont="1" applyFill="1" applyBorder="1" applyAlignment="1" applyProtection="1">
      <alignment vertical="top" wrapText="1"/>
    </xf>
    <xf numFmtId="0" fontId="14" fillId="0" borderId="0" xfId="3" applyFont="1" applyFill="1" applyAlignment="1" applyProtection="1">
      <alignment wrapText="1"/>
      <protection locked="0"/>
    </xf>
    <xf numFmtId="0" fontId="0" fillId="0" borderId="0" xfId="0" applyFill="1" applyBorder="1" applyProtection="1"/>
    <xf numFmtId="0" fontId="0" fillId="0" borderId="0" xfId="0" applyAlignment="1" applyProtection="1">
      <alignment vertical="center"/>
    </xf>
    <xf numFmtId="0" fontId="6" fillId="0" borderId="25" xfId="3" applyFont="1" applyFill="1" applyBorder="1" applyAlignment="1" applyProtection="1">
      <alignment horizontal="center" vertical="center" wrapText="1"/>
    </xf>
    <xf numFmtId="0" fontId="19" fillId="0" borderId="0" xfId="3" applyFont="1" applyFill="1" applyBorder="1" applyAlignment="1" applyProtection="1">
      <alignment horizontal="center" vertical="center" wrapText="1"/>
    </xf>
    <xf numFmtId="0" fontId="20" fillId="0" borderId="29" xfId="3" applyFont="1" applyFill="1" applyBorder="1" applyAlignment="1" applyProtection="1">
      <alignment horizontal="center" vertical="center"/>
    </xf>
    <xf numFmtId="0" fontId="17" fillId="0" borderId="29" xfId="3" applyFont="1" applyFill="1" applyBorder="1" applyAlignment="1" applyProtection="1">
      <alignment horizontal="center" vertical="center" wrapText="1"/>
    </xf>
    <xf numFmtId="0" fontId="14" fillId="0" borderId="30" xfId="3" applyFont="1" applyFill="1" applyBorder="1" applyAlignment="1" applyProtection="1">
      <alignment horizontal="center" vertical="center"/>
    </xf>
    <xf numFmtId="2" fontId="14" fillId="0" borderId="32" xfId="3" applyNumberFormat="1" applyFont="1" applyFill="1" applyBorder="1" applyAlignment="1" applyProtection="1">
      <alignment horizontal="center" vertical="center"/>
    </xf>
    <xf numFmtId="1" fontId="14" fillId="0" borderId="32" xfId="3" applyNumberFormat="1" applyFont="1" applyFill="1" applyBorder="1" applyAlignment="1" applyProtection="1">
      <alignment horizontal="center" vertical="center"/>
    </xf>
    <xf numFmtId="165" fontId="14" fillId="0" borderId="32" xfId="3" applyNumberFormat="1" applyFont="1" applyFill="1" applyBorder="1" applyAlignment="1" applyProtection="1">
      <alignment horizontal="center" vertical="center"/>
    </xf>
    <xf numFmtId="2" fontId="14" fillId="0" borderId="32" xfId="3" applyNumberFormat="1" applyFont="1" applyFill="1" applyBorder="1" applyAlignment="1" applyProtection="1">
      <alignment horizontal="center" vertical="center"/>
      <protection locked="0"/>
    </xf>
    <xf numFmtId="2" fontId="14" fillId="0" borderId="4" xfId="3" applyNumberFormat="1" applyFont="1" applyFill="1" applyBorder="1" applyAlignment="1" applyProtection="1">
      <alignment horizontal="center" vertical="center"/>
    </xf>
    <xf numFmtId="10" fontId="14" fillId="0" borderId="4" xfId="3" applyNumberFormat="1" applyFont="1" applyFill="1" applyBorder="1" applyAlignment="1" applyProtection="1">
      <alignment horizontal="center" vertical="center"/>
    </xf>
    <xf numFmtId="2" fontId="14" fillId="0" borderId="33" xfId="3" applyNumberFormat="1" applyFont="1" applyBorder="1" applyAlignment="1" applyProtection="1">
      <alignment horizontal="center" vertical="center"/>
    </xf>
    <xf numFmtId="2" fontId="17" fillId="0" borderId="33" xfId="3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</xf>
    <xf numFmtId="0" fontId="23" fillId="0" borderId="34" xfId="3" applyFont="1" applyFill="1" applyBorder="1" applyAlignment="1" applyProtection="1">
      <alignment horizontal="center" vertical="center" wrapText="1"/>
    </xf>
    <xf numFmtId="0" fontId="14" fillId="0" borderId="34" xfId="3" applyFont="1" applyFill="1" applyBorder="1" applyAlignment="1" applyProtection="1">
      <alignment horizontal="center" vertical="center"/>
    </xf>
    <xf numFmtId="2" fontId="14" fillId="0" borderId="36" xfId="3" applyNumberFormat="1" applyFont="1" applyFill="1" applyBorder="1" applyAlignment="1" applyProtection="1">
      <alignment horizontal="center" vertical="center"/>
      <protection locked="0"/>
    </xf>
    <xf numFmtId="2" fontId="14" fillId="0" borderId="5" xfId="3" applyNumberFormat="1" applyFont="1" applyFill="1" applyBorder="1" applyAlignment="1" applyProtection="1">
      <alignment horizontal="center" vertical="center"/>
    </xf>
    <xf numFmtId="10" fontId="14" fillId="0" borderId="5" xfId="3" applyNumberFormat="1" applyFont="1" applyFill="1" applyBorder="1" applyAlignment="1" applyProtection="1">
      <alignment horizontal="center" vertical="center"/>
    </xf>
    <xf numFmtId="0" fontId="17" fillId="0" borderId="38" xfId="3" applyFont="1" applyFill="1" applyBorder="1" applyAlignment="1" applyProtection="1">
      <alignment horizontal="center" vertical="center" wrapText="1"/>
    </xf>
    <xf numFmtId="0" fontId="14" fillId="0" borderId="38" xfId="3" applyFont="1" applyFill="1" applyBorder="1" applyAlignment="1" applyProtection="1">
      <alignment horizontal="center" vertical="center"/>
    </xf>
    <xf numFmtId="2" fontId="14" fillId="0" borderId="40" xfId="3" applyNumberFormat="1" applyFont="1" applyFill="1" applyBorder="1" applyAlignment="1" applyProtection="1">
      <alignment horizontal="center" vertical="center"/>
      <protection locked="0"/>
    </xf>
    <xf numFmtId="10" fontId="14" fillId="0" borderId="41" xfId="3" applyNumberFormat="1" applyFont="1" applyFill="1" applyBorder="1" applyAlignment="1" applyProtection="1">
      <alignment horizontal="center" vertical="center"/>
    </xf>
    <xf numFmtId="0" fontId="17" fillId="0" borderId="0" xfId="3" applyFont="1" applyFill="1" applyBorder="1" applyAlignment="1" applyProtection="1">
      <alignment vertical="center"/>
    </xf>
    <xf numFmtId="0" fontId="17" fillId="0" borderId="0" xfId="3" applyFont="1" applyFill="1" applyAlignment="1" applyProtection="1">
      <alignment vertical="center"/>
    </xf>
    <xf numFmtId="0" fontId="31" fillId="4" borderId="9" xfId="0" applyFont="1" applyFill="1" applyBorder="1" applyAlignment="1" applyProtection="1">
      <alignment horizontal="center" vertical="center"/>
    </xf>
    <xf numFmtId="2" fontId="31" fillId="4" borderId="50" xfId="0" applyNumberFormat="1" applyFont="1" applyFill="1" applyBorder="1" applyAlignment="1" applyProtection="1">
      <alignment horizontal="center" vertical="center"/>
    </xf>
    <xf numFmtId="2" fontId="31" fillId="4" borderId="51" xfId="0" applyNumberFormat="1" applyFont="1" applyFill="1" applyBorder="1" applyAlignment="1" applyProtection="1">
      <alignment horizontal="center" vertical="center"/>
    </xf>
    <xf numFmtId="2" fontId="14" fillId="0" borderId="47" xfId="3" applyNumberFormat="1" applyFont="1" applyBorder="1" applyAlignment="1" applyProtection="1">
      <alignment horizontal="center" vertical="center"/>
    </xf>
    <xf numFmtId="2" fontId="14" fillId="0" borderId="33" xfId="3" applyNumberFormat="1" applyFont="1" applyFill="1" applyBorder="1" applyAlignment="1" applyProtection="1">
      <alignment horizontal="center" vertical="center"/>
    </xf>
    <xf numFmtId="0" fontId="17" fillId="0" borderId="34" xfId="3" applyFont="1" applyFill="1" applyBorder="1" applyAlignment="1" applyProtection="1">
      <alignment horizontal="center" vertical="center" wrapText="1"/>
    </xf>
    <xf numFmtId="2" fontId="14" fillId="0" borderId="6" xfId="3" applyNumberFormat="1" applyFont="1" applyFill="1" applyBorder="1" applyAlignment="1" applyProtection="1">
      <alignment horizontal="center" vertical="center"/>
      <protection locked="0"/>
    </xf>
    <xf numFmtId="0" fontId="6" fillId="0" borderId="0" xfId="3" applyFont="1" applyFill="1" applyAlignment="1" applyProtection="1">
      <alignment vertical="center"/>
    </xf>
    <xf numFmtId="2" fontId="17" fillId="0" borderId="49" xfId="3" applyNumberFormat="1" applyFont="1" applyFill="1" applyBorder="1" applyAlignment="1" applyProtection="1">
      <alignment horizontal="center" vertical="center"/>
    </xf>
    <xf numFmtId="0" fontId="31" fillId="4" borderId="0" xfId="0" applyFont="1" applyFill="1" applyAlignment="1" applyProtection="1">
      <alignment horizontal="center" vertical="center"/>
    </xf>
    <xf numFmtId="2" fontId="31" fillId="4" borderId="0" xfId="0" applyNumberFormat="1" applyFont="1" applyFill="1" applyAlignment="1" applyProtection="1">
      <alignment horizontal="center" vertical="center"/>
    </xf>
    <xf numFmtId="0" fontId="0" fillId="0" borderId="0" xfId="0" applyFont="1" applyAlignment="1" applyProtection="1">
      <alignment vertical="center"/>
      <protection hidden="1"/>
    </xf>
    <xf numFmtId="0" fontId="32" fillId="5" borderId="0" xfId="0" applyFont="1" applyFill="1" applyAlignment="1" applyProtection="1">
      <alignment vertical="center" wrapText="1" shrinkToFit="1"/>
      <protection hidden="1"/>
    </xf>
    <xf numFmtId="0" fontId="0" fillId="0" borderId="5" xfId="0" applyFont="1" applyBorder="1" applyAlignment="1" applyProtection="1">
      <alignment vertical="center"/>
      <protection hidden="1"/>
    </xf>
    <xf numFmtId="0" fontId="0" fillId="0" borderId="52" xfId="0" applyFont="1" applyBorder="1" applyAlignment="1" applyProtection="1">
      <alignment vertical="center"/>
      <protection hidden="1"/>
    </xf>
    <xf numFmtId="0" fontId="0" fillId="0" borderId="53" xfId="0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0" fillId="0" borderId="57" xfId="0" applyFont="1" applyBorder="1" applyAlignment="1" applyProtection="1">
      <alignment horizontal="center"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0" fontId="0" fillId="0" borderId="52" xfId="0" applyFont="1" applyBorder="1" applyAlignment="1" applyProtection="1">
      <alignment horizontal="center" vertical="center"/>
      <protection hidden="1"/>
    </xf>
    <xf numFmtId="0" fontId="0" fillId="0" borderId="4" xfId="0" applyFont="1" applyBorder="1" applyAlignment="1" applyProtection="1">
      <alignment horizontal="center" vertical="center"/>
      <protection hidden="1"/>
    </xf>
    <xf numFmtId="0" fontId="0" fillId="0" borderId="47" xfId="0" applyFont="1" applyBorder="1" applyAlignment="1" applyProtection="1">
      <alignment horizontal="center" vertical="center"/>
      <protection hidden="1"/>
    </xf>
    <xf numFmtId="0" fontId="0" fillId="0" borderId="46" xfId="0" applyFont="1" applyBorder="1" applyAlignment="1" applyProtection="1">
      <alignment horizontal="center" vertical="center"/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0" fillId="0" borderId="5" xfId="0" applyFont="1" applyBorder="1" applyAlignment="1" applyProtection="1">
      <alignment horizontal="center" vertical="center"/>
      <protection locked="0"/>
    </xf>
    <xf numFmtId="2" fontId="0" fillId="0" borderId="5" xfId="0" applyNumberFormat="1" applyFont="1" applyBorder="1" applyAlignment="1" applyProtection="1">
      <alignment horizontal="center" vertical="center"/>
      <protection hidden="1"/>
    </xf>
    <xf numFmtId="10" fontId="0" fillId="0" borderId="5" xfId="0" applyNumberFormat="1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locked="0"/>
    </xf>
    <xf numFmtId="0" fontId="7" fillId="0" borderId="58" xfId="0" applyFont="1" applyBorder="1" applyAlignment="1" applyProtection="1">
      <alignment horizontal="center" vertical="center" wrapText="1"/>
      <protection hidden="1"/>
    </xf>
    <xf numFmtId="0" fontId="7" fillId="0" borderId="59" xfId="0" applyFont="1" applyBorder="1" applyAlignment="1" applyProtection="1">
      <alignment horizontal="center" vertical="center" wrapText="1"/>
      <protection hidden="1"/>
    </xf>
    <xf numFmtId="0" fontId="7" fillId="0" borderId="60" xfId="0" applyFont="1" applyBorder="1" applyAlignment="1" applyProtection="1">
      <alignment horizontal="center" vertical="center" wrapText="1"/>
      <protection hidden="1"/>
    </xf>
    <xf numFmtId="167" fontId="0" fillId="0" borderId="5" xfId="0" applyNumberFormat="1" applyFont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2" fontId="0" fillId="0" borderId="0" xfId="0" applyNumberFormat="1" applyFont="1" applyAlignment="1" applyProtection="1">
      <alignment horizontal="center" vertical="center"/>
      <protection hidden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1" fontId="0" fillId="0" borderId="49" xfId="0" applyNumberFormat="1" applyFont="1" applyBorder="1" applyAlignment="1" applyProtection="1">
      <alignment horizontal="center" vertical="center"/>
      <protection locked="0" hidden="1"/>
    </xf>
    <xf numFmtId="2" fontId="0" fillId="0" borderId="49" xfId="0" applyNumberFormat="1" applyFont="1" applyBorder="1" applyAlignment="1" applyProtection="1">
      <alignment horizontal="center" vertical="center" wrapText="1"/>
      <protection locked="0" hidden="1"/>
    </xf>
    <xf numFmtId="0" fontId="0" fillId="0" borderId="49" xfId="0" applyFont="1" applyBorder="1" applyAlignment="1" applyProtection="1">
      <alignment horizontal="center" vertical="center" wrapText="1"/>
      <protection locked="0"/>
    </xf>
    <xf numFmtId="0" fontId="0" fillId="0" borderId="63" xfId="0" applyFont="1" applyBorder="1" applyAlignment="1" applyProtection="1">
      <alignment horizontal="center" vertical="center" wrapText="1"/>
      <protection locked="0"/>
    </xf>
    <xf numFmtId="1" fontId="0" fillId="0" borderId="64" xfId="0" applyNumberFormat="1" applyFont="1" applyBorder="1" applyAlignment="1" applyProtection="1">
      <alignment horizontal="center" vertical="center"/>
      <protection locked="0" hidden="1"/>
    </xf>
    <xf numFmtId="0" fontId="0" fillId="0" borderId="64" xfId="0" applyFont="1" applyBorder="1" applyAlignment="1" applyProtection="1">
      <alignment horizontal="center" vertical="center" wrapText="1"/>
      <protection locked="0" hidden="1"/>
    </xf>
    <xf numFmtId="0" fontId="0" fillId="0" borderId="64" xfId="0" applyFont="1" applyBorder="1" applyAlignment="1" applyProtection="1">
      <alignment horizontal="center" vertical="center" wrapText="1"/>
      <protection locked="0"/>
    </xf>
    <xf numFmtId="0" fontId="0" fillId="0" borderId="65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</xf>
    <xf numFmtId="2" fontId="0" fillId="0" borderId="0" xfId="0" applyNumberFormat="1"/>
    <xf numFmtId="2" fontId="0" fillId="0" borderId="0" xfId="0" applyNumberFormat="1" applyAlignment="1"/>
    <xf numFmtId="164" fontId="0" fillId="0" borderId="0" xfId="0" applyNumberFormat="1"/>
    <xf numFmtId="0" fontId="35" fillId="0" borderId="0" xfId="0" applyFont="1" applyProtection="1">
      <protection hidden="1"/>
    </xf>
    <xf numFmtId="0" fontId="3" fillId="0" borderId="0" xfId="3" applyFont="1" applyFill="1" applyProtection="1">
      <protection locked="0"/>
    </xf>
    <xf numFmtId="0" fontId="25" fillId="0" borderId="0" xfId="3" applyFont="1" applyFill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0" fillId="0" borderId="0" xfId="0" applyAlignment="1" applyProtection="1"/>
    <xf numFmtId="0" fontId="6" fillId="0" borderId="0" xfId="4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9" fillId="0" borderId="44" xfId="3" applyFont="1" applyFill="1" applyBorder="1" applyAlignment="1" applyProtection="1">
      <alignment horizontal="center" vertical="center" textRotation="90" wrapText="1"/>
    </xf>
    <xf numFmtId="0" fontId="19" fillId="0" borderId="45" xfId="3" applyFont="1" applyFill="1" applyBorder="1" applyAlignment="1" applyProtection="1">
      <alignment horizontal="center" vertical="center" textRotation="90" wrapText="1"/>
    </xf>
    <xf numFmtId="0" fontId="19" fillId="0" borderId="44" xfId="3" applyFont="1" applyFill="1" applyBorder="1" applyAlignment="1" applyProtection="1">
      <alignment horizontal="center" vertical="center" wrapText="1"/>
    </xf>
    <xf numFmtId="0" fontId="10" fillId="0" borderId="45" xfId="0" applyFont="1" applyBorder="1" applyAlignment="1" applyProtection="1"/>
    <xf numFmtId="0" fontId="19" fillId="0" borderId="12" xfId="3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/>
    </xf>
    <xf numFmtId="0" fontId="19" fillId="0" borderId="15" xfId="3" applyFont="1" applyFill="1" applyBorder="1" applyAlignment="1" applyProtection="1">
      <alignment horizontal="center" vertical="center" wrapText="1"/>
    </xf>
    <xf numFmtId="0" fontId="10" fillId="0" borderId="24" xfId="0" applyFont="1" applyBorder="1" applyAlignment="1" applyProtection="1"/>
    <xf numFmtId="0" fontId="19" fillId="0" borderId="16" xfId="3" applyFont="1" applyFill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/>
    </xf>
    <xf numFmtId="0" fontId="19" fillId="0" borderId="20" xfId="3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/>
    </xf>
    <xf numFmtId="0" fontId="19" fillId="0" borderId="16" xfId="3" applyFont="1" applyFill="1" applyBorder="1" applyAlignment="1" applyProtection="1">
      <alignment horizontal="center" vertical="center"/>
    </xf>
    <xf numFmtId="0" fontId="6" fillId="0" borderId="0" xfId="3" applyFont="1" applyFill="1" applyAlignment="1" applyProtection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3" applyFont="1" applyFill="1" applyAlignment="1" applyProtection="1">
      <alignment wrapText="1"/>
    </xf>
    <xf numFmtId="0" fontId="10" fillId="0" borderId="0" xfId="0" applyFont="1" applyAlignment="1">
      <alignment wrapText="1"/>
    </xf>
    <xf numFmtId="0" fontId="14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center" vertical="center"/>
    </xf>
    <xf numFmtId="0" fontId="17" fillId="0" borderId="13" xfId="3" applyFont="1" applyFill="1" applyBorder="1" applyAlignment="1" applyProtection="1">
      <alignment horizontal="center" vertical="center" textRotation="90" wrapText="1"/>
    </xf>
    <xf numFmtId="0" fontId="17" fillId="0" borderId="21" xfId="3" applyFont="1" applyFill="1" applyBorder="1" applyAlignment="1" applyProtection="1">
      <alignment horizontal="center" vertical="center" textRotation="90" wrapText="1"/>
    </xf>
    <xf numFmtId="0" fontId="19" fillId="0" borderId="14" xfId="3" applyFont="1" applyFill="1" applyBorder="1" applyAlignment="1" applyProtection="1">
      <alignment horizontal="center" vertical="center" wrapText="1"/>
    </xf>
    <xf numFmtId="0" fontId="10" fillId="0" borderId="22" xfId="0" applyFont="1" applyBorder="1" applyAlignment="1" applyProtection="1"/>
    <xf numFmtId="0" fontId="10" fillId="0" borderId="23" xfId="0" applyFont="1" applyBorder="1" applyAlignment="1" applyProtection="1">
      <alignment horizontal="center" vertical="center"/>
    </xf>
    <xf numFmtId="0" fontId="19" fillId="0" borderId="19" xfId="3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14" fillId="0" borderId="3" xfId="3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2" fillId="0" borderId="0" xfId="3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3" fillId="0" borderId="0" xfId="3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49" fontId="14" fillId="0" borderId="2" xfId="3" applyNumberFormat="1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15" fontId="14" fillId="0" borderId="2" xfId="3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</xf>
    <xf numFmtId="0" fontId="10" fillId="0" borderId="24" xfId="0" applyFont="1" applyBorder="1" applyAlignment="1" applyProtection="1">
      <alignment vertical="center"/>
    </xf>
    <xf numFmtId="0" fontId="10" fillId="0" borderId="22" xfId="0" applyFont="1" applyBorder="1" applyAlignment="1" applyProtection="1">
      <alignment vertical="center"/>
    </xf>
    <xf numFmtId="0" fontId="0" fillId="0" borderId="5" xfId="0" applyFont="1" applyBorder="1" applyAlignment="1" applyProtection="1">
      <alignment horizontal="center" vertical="center"/>
      <protection hidden="1"/>
    </xf>
    <xf numFmtId="0" fontId="0" fillId="0" borderId="5" xfId="0" applyFont="1" applyBorder="1" applyAlignment="1" applyProtection="1">
      <alignment vertical="center"/>
      <protection hidden="1"/>
    </xf>
    <xf numFmtId="0" fontId="0" fillId="0" borderId="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0" fillId="0" borderId="47" xfId="0" applyFont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52" xfId="0" applyFont="1" applyBorder="1" applyAlignment="1" applyProtection="1">
      <alignment horizontal="center" vertical="center"/>
      <protection hidden="1"/>
    </xf>
    <xf numFmtId="0" fontId="10" fillId="0" borderId="53" xfId="0" applyFont="1" applyBorder="1" applyAlignment="1" applyProtection="1">
      <alignment horizontal="center" vertical="center"/>
      <protection hidden="1"/>
    </xf>
    <xf numFmtId="0" fontId="10" fillId="0" borderId="54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0" fontId="10" fillId="0" borderId="55" xfId="0" applyFont="1" applyBorder="1" applyAlignment="1" applyProtection="1">
      <alignment horizontal="center" vertical="center"/>
      <protection hidden="1"/>
    </xf>
    <xf numFmtId="0" fontId="10" fillId="0" borderId="56" xfId="0" applyFont="1" applyBorder="1" applyAlignment="1" applyProtection="1">
      <alignment horizontal="center" vertical="center"/>
      <protection hidden="1"/>
    </xf>
    <xf numFmtId="0" fontId="0" fillId="0" borderId="55" xfId="0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F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AFF0"/>
      <color rgb="FF005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19050</xdr:rowOff>
    </xdr:from>
    <xdr:to>
      <xdr:col>9</xdr:col>
      <xdr:colOff>457200</xdr:colOff>
      <xdr:row>13</xdr:row>
      <xdr:rowOff>461010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8470" y="2766060"/>
          <a:ext cx="457200" cy="441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2</xdr:row>
      <xdr:rowOff>148590</xdr:rowOff>
    </xdr:from>
    <xdr:to>
      <xdr:col>10</xdr:col>
      <xdr:colOff>449580</xdr:colOff>
      <xdr:row>5</xdr:row>
      <xdr:rowOff>118110</xdr:rowOff>
    </xdr:to>
    <xdr:pic>
      <xdr:nvPicPr>
        <xdr:cNvPr id="2" name="Picture 1" descr="aR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461010"/>
          <a:ext cx="46101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J35"/>
  <sheetViews>
    <sheetView tabSelected="1" showWhiteSpace="0" topLeftCell="A10" zoomScaleNormal="100" workbookViewId="0">
      <selection activeCell="O28" sqref="O28"/>
    </sheetView>
  </sheetViews>
  <sheetFormatPr defaultColWidth="8.7109375" defaultRowHeight="18" customHeight="1" x14ac:dyDescent="0.2"/>
  <cols>
    <col min="1" max="1" width="7.140625" style="9" customWidth="1"/>
    <col min="2" max="2" width="20" style="10" customWidth="1"/>
    <col min="3" max="5" width="9.28515625" style="9" customWidth="1"/>
    <col min="6" max="14" width="9" style="9" customWidth="1"/>
    <col min="15" max="15" width="7.5703125" style="9" customWidth="1"/>
    <col min="16" max="17" width="9" style="9" customWidth="1"/>
    <col min="18" max="18" width="10.140625" style="9" customWidth="1"/>
    <col min="19" max="20" width="11.28515625" style="9" customWidth="1"/>
    <col min="21" max="21" width="19.85546875" style="9" customWidth="1"/>
    <col min="22" max="22" width="12.85546875" style="9" customWidth="1"/>
    <col min="23" max="23" width="10.85546875" style="9" customWidth="1"/>
    <col min="24" max="24" width="16.140625" style="9" customWidth="1"/>
    <col min="25" max="25" width="8.85546875" style="9" bestFit="1" customWidth="1"/>
    <col min="26" max="30" width="8.7109375" style="9"/>
    <col min="31" max="35" width="13.5703125" style="9" customWidth="1"/>
    <col min="36" max="268" width="8.7109375" style="9"/>
    <col min="269" max="269" width="17.28515625" style="9" customWidth="1"/>
    <col min="270" max="270" width="9.28515625" style="9" customWidth="1"/>
    <col min="271" max="273" width="9" style="9" customWidth="1"/>
    <col min="274" max="274" width="6.5703125" style="9" customWidth="1"/>
    <col min="275" max="278" width="9" style="9" customWidth="1"/>
    <col min="279" max="280" width="8.7109375" style="9" customWidth="1"/>
    <col min="281" max="281" width="13.85546875" style="9" customWidth="1"/>
    <col min="282" max="524" width="8.7109375" style="9"/>
    <col min="525" max="525" width="17.28515625" style="9" customWidth="1"/>
    <col min="526" max="526" width="9.28515625" style="9" customWidth="1"/>
    <col min="527" max="529" width="9" style="9" customWidth="1"/>
    <col min="530" max="530" width="6.5703125" style="9" customWidth="1"/>
    <col min="531" max="534" width="9" style="9" customWidth="1"/>
    <col min="535" max="536" width="8.7109375" style="9" customWidth="1"/>
    <col min="537" max="537" width="13.85546875" style="9" customWidth="1"/>
    <col min="538" max="780" width="8.7109375" style="9"/>
    <col min="781" max="781" width="17.28515625" style="9" customWidth="1"/>
    <col min="782" max="782" width="9.28515625" style="9" customWidth="1"/>
    <col min="783" max="785" width="9" style="9" customWidth="1"/>
    <col min="786" max="786" width="6.5703125" style="9" customWidth="1"/>
    <col min="787" max="790" width="9" style="9" customWidth="1"/>
    <col min="791" max="792" width="8.7109375" style="9" customWidth="1"/>
    <col min="793" max="793" width="13.85546875" style="9" customWidth="1"/>
    <col min="794" max="1036" width="8.7109375" style="9"/>
    <col min="1037" max="1037" width="17.28515625" style="9" customWidth="1"/>
    <col min="1038" max="1038" width="9.28515625" style="9" customWidth="1"/>
    <col min="1039" max="1041" width="9" style="9" customWidth="1"/>
    <col min="1042" max="1042" width="6.5703125" style="9" customWidth="1"/>
    <col min="1043" max="1046" width="9" style="9" customWidth="1"/>
    <col min="1047" max="1048" width="8.7109375" style="9" customWidth="1"/>
    <col min="1049" max="1049" width="13.85546875" style="9" customWidth="1"/>
    <col min="1050" max="1292" width="8.7109375" style="9"/>
    <col min="1293" max="1293" width="17.28515625" style="9" customWidth="1"/>
    <col min="1294" max="1294" width="9.28515625" style="9" customWidth="1"/>
    <col min="1295" max="1297" width="9" style="9" customWidth="1"/>
    <col min="1298" max="1298" width="6.5703125" style="9" customWidth="1"/>
    <col min="1299" max="1302" width="9" style="9" customWidth="1"/>
    <col min="1303" max="1304" width="8.7109375" style="9" customWidth="1"/>
    <col min="1305" max="1305" width="13.85546875" style="9" customWidth="1"/>
    <col min="1306" max="1548" width="8.7109375" style="9"/>
    <col min="1549" max="1549" width="17.28515625" style="9" customWidth="1"/>
    <col min="1550" max="1550" width="9.28515625" style="9" customWidth="1"/>
    <col min="1551" max="1553" width="9" style="9" customWidth="1"/>
    <col min="1554" max="1554" width="6.5703125" style="9" customWidth="1"/>
    <col min="1555" max="1558" width="9" style="9" customWidth="1"/>
    <col min="1559" max="1560" width="8.7109375" style="9" customWidth="1"/>
    <col min="1561" max="1561" width="13.85546875" style="9" customWidth="1"/>
    <col min="1562" max="1804" width="8.7109375" style="9"/>
    <col min="1805" max="1805" width="17.28515625" style="9" customWidth="1"/>
    <col min="1806" max="1806" width="9.28515625" style="9" customWidth="1"/>
    <col min="1807" max="1809" width="9" style="9" customWidth="1"/>
    <col min="1810" max="1810" width="6.5703125" style="9" customWidth="1"/>
    <col min="1811" max="1814" width="9" style="9" customWidth="1"/>
    <col min="1815" max="1816" width="8.7109375" style="9" customWidth="1"/>
    <col min="1817" max="1817" width="13.85546875" style="9" customWidth="1"/>
    <col min="1818" max="2060" width="8.7109375" style="9"/>
    <col min="2061" max="2061" width="17.28515625" style="9" customWidth="1"/>
    <col min="2062" max="2062" width="9.28515625" style="9" customWidth="1"/>
    <col min="2063" max="2065" width="9" style="9" customWidth="1"/>
    <col min="2066" max="2066" width="6.5703125" style="9" customWidth="1"/>
    <col min="2067" max="2070" width="9" style="9" customWidth="1"/>
    <col min="2071" max="2072" width="8.7109375" style="9" customWidth="1"/>
    <col min="2073" max="2073" width="13.85546875" style="9" customWidth="1"/>
    <col min="2074" max="2316" width="8.7109375" style="9"/>
    <col min="2317" max="2317" width="17.28515625" style="9" customWidth="1"/>
    <col min="2318" max="2318" width="9.28515625" style="9" customWidth="1"/>
    <col min="2319" max="2321" width="9" style="9" customWidth="1"/>
    <col min="2322" max="2322" width="6.5703125" style="9" customWidth="1"/>
    <col min="2323" max="2326" width="9" style="9" customWidth="1"/>
    <col min="2327" max="2328" width="8.7109375" style="9" customWidth="1"/>
    <col min="2329" max="2329" width="13.85546875" style="9" customWidth="1"/>
    <col min="2330" max="2572" width="8.7109375" style="9"/>
    <col min="2573" max="2573" width="17.28515625" style="9" customWidth="1"/>
    <col min="2574" max="2574" width="9.28515625" style="9" customWidth="1"/>
    <col min="2575" max="2577" width="9" style="9" customWidth="1"/>
    <col min="2578" max="2578" width="6.5703125" style="9" customWidth="1"/>
    <col min="2579" max="2582" width="9" style="9" customWidth="1"/>
    <col min="2583" max="2584" width="8.7109375" style="9" customWidth="1"/>
    <col min="2585" max="2585" width="13.85546875" style="9" customWidth="1"/>
    <col min="2586" max="2828" width="8.7109375" style="9"/>
    <col min="2829" max="2829" width="17.28515625" style="9" customWidth="1"/>
    <col min="2830" max="2830" width="9.28515625" style="9" customWidth="1"/>
    <col min="2831" max="2833" width="9" style="9" customWidth="1"/>
    <col min="2834" max="2834" width="6.5703125" style="9" customWidth="1"/>
    <col min="2835" max="2838" width="9" style="9" customWidth="1"/>
    <col min="2839" max="2840" width="8.7109375" style="9" customWidth="1"/>
    <col min="2841" max="2841" width="13.85546875" style="9" customWidth="1"/>
    <col min="2842" max="3084" width="8.7109375" style="9"/>
    <col min="3085" max="3085" width="17.28515625" style="9" customWidth="1"/>
    <col min="3086" max="3086" width="9.28515625" style="9" customWidth="1"/>
    <col min="3087" max="3089" width="9" style="9" customWidth="1"/>
    <col min="3090" max="3090" width="6.5703125" style="9" customWidth="1"/>
    <col min="3091" max="3094" width="9" style="9" customWidth="1"/>
    <col min="3095" max="3096" width="8.7109375" style="9" customWidth="1"/>
    <col min="3097" max="3097" width="13.85546875" style="9" customWidth="1"/>
    <col min="3098" max="3340" width="8.7109375" style="9"/>
    <col min="3341" max="3341" width="17.28515625" style="9" customWidth="1"/>
    <col min="3342" max="3342" width="9.28515625" style="9" customWidth="1"/>
    <col min="3343" max="3345" width="9" style="9" customWidth="1"/>
    <col min="3346" max="3346" width="6.5703125" style="9" customWidth="1"/>
    <col min="3347" max="3350" width="9" style="9" customWidth="1"/>
    <col min="3351" max="3352" width="8.7109375" style="9" customWidth="1"/>
    <col min="3353" max="3353" width="13.85546875" style="9" customWidth="1"/>
    <col min="3354" max="3596" width="8.7109375" style="9"/>
    <col min="3597" max="3597" width="17.28515625" style="9" customWidth="1"/>
    <col min="3598" max="3598" width="9.28515625" style="9" customWidth="1"/>
    <col min="3599" max="3601" width="9" style="9" customWidth="1"/>
    <col min="3602" max="3602" width="6.5703125" style="9" customWidth="1"/>
    <col min="3603" max="3606" width="9" style="9" customWidth="1"/>
    <col min="3607" max="3608" width="8.7109375" style="9" customWidth="1"/>
    <col min="3609" max="3609" width="13.85546875" style="9" customWidth="1"/>
    <col min="3610" max="3852" width="8.7109375" style="9"/>
    <col min="3853" max="3853" width="17.28515625" style="9" customWidth="1"/>
    <col min="3854" max="3854" width="9.28515625" style="9" customWidth="1"/>
    <col min="3855" max="3857" width="9" style="9" customWidth="1"/>
    <col min="3858" max="3858" width="6.5703125" style="9" customWidth="1"/>
    <col min="3859" max="3862" width="9" style="9" customWidth="1"/>
    <col min="3863" max="3864" width="8.7109375" style="9" customWidth="1"/>
    <col min="3865" max="3865" width="13.85546875" style="9" customWidth="1"/>
    <col min="3866" max="4108" width="8.7109375" style="9"/>
    <col min="4109" max="4109" width="17.28515625" style="9" customWidth="1"/>
    <col min="4110" max="4110" width="9.28515625" style="9" customWidth="1"/>
    <col min="4111" max="4113" width="9" style="9" customWidth="1"/>
    <col min="4114" max="4114" width="6.5703125" style="9" customWidth="1"/>
    <col min="4115" max="4118" width="9" style="9" customWidth="1"/>
    <col min="4119" max="4120" width="8.7109375" style="9" customWidth="1"/>
    <col min="4121" max="4121" width="13.85546875" style="9" customWidth="1"/>
    <col min="4122" max="4364" width="8.7109375" style="9"/>
    <col min="4365" max="4365" width="17.28515625" style="9" customWidth="1"/>
    <col min="4366" max="4366" width="9.28515625" style="9" customWidth="1"/>
    <col min="4367" max="4369" width="9" style="9" customWidth="1"/>
    <col min="4370" max="4370" width="6.5703125" style="9" customWidth="1"/>
    <col min="4371" max="4374" width="9" style="9" customWidth="1"/>
    <col min="4375" max="4376" width="8.7109375" style="9" customWidth="1"/>
    <col min="4377" max="4377" width="13.85546875" style="9" customWidth="1"/>
    <col min="4378" max="4620" width="8.7109375" style="9"/>
    <col min="4621" max="4621" width="17.28515625" style="9" customWidth="1"/>
    <col min="4622" max="4622" width="9.28515625" style="9" customWidth="1"/>
    <col min="4623" max="4625" width="9" style="9" customWidth="1"/>
    <col min="4626" max="4626" width="6.5703125" style="9" customWidth="1"/>
    <col min="4627" max="4630" width="9" style="9" customWidth="1"/>
    <col min="4631" max="4632" width="8.7109375" style="9" customWidth="1"/>
    <col min="4633" max="4633" width="13.85546875" style="9" customWidth="1"/>
    <col min="4634" max="4876" width="8.7109375" style="9"/>
    <col min="4877" max="4877" width="17.28515625" style="9" customWidth="1"/>
    <col min="4878" max="4878" width="9.28515625" style="9" customWidth="1"/>
    <col min="4879" max="4881" width="9" style="9" customWidth="1"/>
    <col min="4882" max="4882" width="6.5703125" style="9" customWidth="1"/>
    <col min="4883" max="4886" width="9" style="9" customWidth="1"/>
    <col min="4887" max="4888" width="8.7109375" style="9" customWidth="1"/>
    <col min="4889" max="4889" width="13.85546875" style="9" customWidth="1"/>
    <col min="4890" max="5132" width="8.7109375" style="9"/>
    <col min="5133" max="5133" width="17.28515625" style="9" customWidth="1"/>
    <col min="5134" max="5134" width="9.28515625" style="9" customWidth="1"/>
    <col min="5135" max="5137" width="9" style="9" customWidth="1"/>
    <col min="5138" max="5138" width="6.5703125" style="9" customWidth="1"/>
    <col min="5139" max="5142" width="9" style="9" customWidth="1"/>
    <col min="5143" max="5144" width="8.7109375" style="9" customWidth="1"/>
    <col min="5145" max="5145" width="13.85546875" style="9" customWidth="1"/>
    <col min="5146" max="5388" width="8.7109375" style="9"/>
    <col min="5389" max="5389" width="17.28515625" style="9" customWidth="1"/>
    <col min="5390" max="5390" width="9.28515625" style="9" customWidth="1"/>
    <col min="5391" max="5393" width="9" style="9" customWidth="1"/>
    <col min="5394" max="5394" width="6.5703125" style="9" customWidth="1"/>
    <col min="5395" max="5398" width="9" style="9" customWidth="1"/>
    <col min="5399" max="5400" width="8.7109375" style="9" customWidth="1"/>
    <col min="5401" max="5401" width="13.85546875" style="9" customWidth="1"/>
    <col min="5402" max="5644" width="8.7109375" style="9"/>
    <col min="5645" max="5645" width="17.28515625" style="9" customWidth="1"/>
    <col min="5646" max="5646" width="9.28515625" style="9" customWidth="1"/>
    <col min="5647" max="5649" width="9" style="9" customWidth="1"/>
    <col min="5650" max="5650" width="6.5703125" style="9" customWidth="1"/>
    <col min="5651" max="5654" width="9" style="9" customWidth="1"/>
    <col min="5655" max="5656" width="8.7109375" style="9" customWidth="1"/>
    <col min="5657" max="5657" width="13.85546875" style="9" customWidth="1"/>
    <col min="5658" max="5900" width="8.7109375" style="9"/>
    <col min="5901" max="5901" width="17.28515625" style="9" customWidth="1"/>
    <col min="5902" max="5902" width="9.28515625" style="9" customWidth="1"/>
    <col min="5903" max="5905" width="9" style="9" customWidth="1"/>
    <col min="5906" max="5906" width="6.5703125" style="9" customWidth="1"/>
    <col min="5907" max="5910" width="9" style="9" customWidth="1"/>
    <col min="5911" max="5912" width="8.7109375" style="9" customWidth="1"/>
    <col min="5913" max="5913" width="13.85546875" style="9" customWidth="1"/>
    <col min="5914" max="6156" width="8.7109375" style="9"/>
    <col min="6157" max="6157" width="17.28515625" style="9" customWidth="1"/>
    <col min="6158" max="6158" width="9.28515625" style="9" customWidth="1"/>
    <col min="6159" max="6161" width="9" style="9" customWidth="1"/>
    <col min="6162" max="6162" width="6.5703125" style="9" customWidth="1"/>
    <col min="6163" max="6166" width="9" style="9" customWidth="1"/>
    <col min="6167" max="6168" width="8.7109375" style="9" customWidth="1"/>
    <col min="6169" max="6169" width="13.85546875" style="9" customWidth="1"/>
    <col min="6170" max="6412" width="8.7109375" style="9"/>
    <col min="6413" max="6413" width="17.28515625" style="9" customWidth="1"/>
    <col min="6414" max="6414" width="9.28515625" style="9" customWidth="1"/>
    <col min="6415" max="6417" width="9" style="9" customWidth="1"/>
    <col min="6418" max="6418" width="6.5703125" style="9" customWidth="1"/>
    <col min="6419" max="6422" width="9" style="9" customWidth="1"/>
    <col min="6423" max="6424" width="8.7109375" style="9" customWidth="1"/>
    <col min="6425" max="6425" width="13.85546875" style="9" customWidth="1"/>
    <col min="6426" max="6668" width="8.7109375" style="9"/>
    <col min="6669" max="6669" width="17.28515625" style="9" customWidth="1"/>
    <col min="6670" max="6670" width="9.28515625" style="9" customWidth="1"/>
    <col min="6671" max="6673" width="9" style="9" customWidth="1"/>
    <col min="6674" max="6674" width="6.5703125" style="9" customWidth="1"/>
    <col min="6675" max="6678" width="9" style="9" customWidth="1"/>
    <col min="6679" max="6680" width="8.7109375" style="9" customWidth="1"/>
    <col min="6681" max="6681" width="13.85546875" style="9" customWidth="1"/>
    <col min="6682" max="6924" width="8.7109375" style="9"/>
    <col min="6925" max="6925" width="17.28515625" style="9" customWidth="1"/>
    <col min="6926" max="6926" width="9.28515625" style="9" customWidth="1"/>
    <col min="6927" max="6929" width="9" style="9" customWidth="1"/>
    <col min="6930" max="6930" width="6.5703125" style="9" customWidth="1"/>
    <col min="6931" max="6934" width="9" style="9" customWidth="1"/>
    <col min="6935" max="6936" width="8.7109375" style="9" customWidth="1"/>
    <col min="6937" max="6937" width="13.85546875" style="9" customWidth="1"/>
    <col min="6938" max="7180" width="8.7109375" style="9"/>
    <col min="7181" max="7181" width="17.28515625" style="9" customWidth="1"/>
    <col min="7182" max="7182" width="9.28515625" style="9" customWidth="1"/>
    <col min="7183" max="7185" width="9" style="9" customWidth="1"/>
    <col min="7186" max="7186" width="6.5703125" style="9" customWidth="1"/>
    <col min="7187" max="7190" width="9" style="9" customWidth="1"/>
    <col min="7191" max="7192" width="8.7109375" style="9" customWidth="1"/>
    <col min="7193" max="7193" width="13.85546875" style="9" customWidth="1"/>
    <col min="7194" max="7436" width="8.7109375" style="9"/>
    <col min="7437" max="7437" width="17.28515625" style="9" customWidth="1"/>
    <col min="7438" max="7438" width="9.28515625" style="9" customWidth="1"/>
    <col min="7439" max="7441" width="9" style="9" customWidth="1"/>
    <col min="7442" max="7442" width="6.5703125" style="9" customWidth="1"/>
    <col min="7443" max="7446" width="9" style="9" customWidth="1"/>
    <col min="7447" max="7448" width="8.7109375" style="9" customWidth="1"/>
    <col min="7449" max="7449" width="13.85546875" style="9" customWidth="1"/>
    <col min="7450" max="7692" width="8.7109375" style="9"/>
    <col min="7693" max="7693" width="17.28515625" style="9" customWidth="1"/>
    <col min="7694" max="7694" width="9.28515625" style="9" customWidth="1"/>
    <col min="7695" max="7697" width="9" style="9" customWidth="1"/>
    <col min="7698" max="7698" width="6.5703125" style="9" customWidth="1"/>
    <col min="7699" max="7702" width="9" style="9" customWidth="1"/>
    <col min="7703" max="7704" width="8.7109375" style="9" customWidth="1"/>
    <col min="7705" max="7705" width="13.85546875" style="9" customWidth="1"/>
    <col min="7706" max="7948" width="8.7109375" style="9"/>
    <col min="7949" max="7949" width="17.28515625" style="9" customWidth="1"/>
    <col min="7950" max="7950" width="9.28515625" style="9" customWidth="1"/>
    <col min="7951" max="7953" width="9" style="9" customWidth="1"/>
    <col min="7954" max="7954" width="6.5703125" style="9" customWidth="1"/>
    <col min="7955" max="7958" width="9" style="9" customWidth="1"/>
    <col min="7959" max="7960" width="8.7109375" style="9" customWidth="1"/>
    <col min="7961" max="7961" width="13.85546875" style="9" customWidth="1"/>
    <col min="7962" max="8204" width="8.7109375" style="9"/>
    <col min="8205" max="8205" width="17.28515625" style="9" customWidth="1"/>
    <col min="8206" max="8206" width="9.28515625" style="9" customWidth="1"/>
    <col min="8207" max="8209" width="9" style="9" customWidth="1"/>
    <col min="8210" max="8210" width="6.5703125" style="9" customWidth="1"/>
    <col min="8211" max="8214" width="9" style="9" customWidth="1"/>
    <col min="8215" max="8216" width="8.7109375" style="9" customWidth="1"/>
    <col min="8217" max="8217" width="13.85546875" style="9" customWidth="1"/>
    <col min="8218" max="8460" width="8.7109375" style="9"/>
    <col min="8461" max="8461" width="17.28515625" style="9" customWidth="1"/>
    <col min="8462" max="8462" width="9.28515625" style="9" customWidth="1"/>
    <col min="8463" max="8465" width="9" style="9" customWidth="1"/>
    <col min="8466" max="8466" width="6.5703125" style="9" customWidth="1"/>
    <col min="8467" max="8470" width="9" style="9" customWidth="1"/>
    <col min="8471" max="8472" width="8.7109375" style="9" customWidth="1"/>
    <col min="8473" max="8473" width="13.85546875" style="9" customWidth="1"/>
    <col min="8474" max="8716" width="8.7109375" style="9"/>
    <col min="8717" max="8717" width="17.28515625" style="9" customWidth="1"/>
    <col min="8718" max="8718" width="9.28515625" style="9" customWidth="1"/>
    <col min="8719" max="8721" width="9" style="9" customWidth="1"/>
    <col min="8722" max="8722" width="6.5703125" style="9" customWidth="1"/>
    <col min="8723" max="8726" width="9" style="9" customWidth="1"/>
    <col min="8727" max="8728" width="8.7109375" style="9" customWidth="1"/>
    <col min="8729" max="8729" width="13.85546875" style="9" customWidth="1"/>
    <col min="8730" max="8972" width="8.7109375" style="9"/>
    <col min="8973" max="8973" width="17.28515625" style="9" customWidth="1"/>
    <col min="8974" max="8974" width="9.28515625" style="9" customWidth="1"/>
    <col min="8975" max="8977" width="9" style="9" customWidth="1"/>
    <col min="8978" max="8978" width="6.5703125" style="9" customWidth="1"/>
    <col min="8979" max="8982" width="9" style="9" customWidth="1"/>
    <col min="8983" max="8984" width="8.7109375" style="9" customWidth="1"/>
    <col min="8985" max="8985" width="13.85546875" style="9" customWidth="1"/>
    <col min="8986" max="9228" width="8.7109375" style="9"/>
    <col min="9229" max="9229" width="17.28515625" style="9" customWidth="1"/>
    <col min="9230" max="9230" width="9.28515625" style="9" customWidth="1"/>
    <col min="9231" max="9233" width="9" style="9" customWidth="1"/>
    <col min="9234" max="9234" width="6.5703125" style="9" customWidth="1"/>
    <col min="9235" max="9238" width="9" style="9" customWidth="1"/>
    <col min="9239" max="9240" width="8.7109375" style="9" customWidth="1"/>
    <col min="9241" max="9241" width="13.85546875" style="9" customWidth="1"/>
    <col min="9242" max="9484" width="8.7109375" style="9"/>
    <col min="9485" max="9485" width="17.28515625" style="9" customWidth="1"/>
    <col min="9486" max="9486" width="9.28515625" style="9" customWidth="1"/>
    <col min="9487" max="9489" width="9" style="9" customWidth="1"/>
    <col min="9490" max="9490" width="6.5703125" style="9" customWidth="1"/>
    <col min="9491" max="9494" width="9" style="9" customWidth="1"/>
    <col min="9495" max="9496" width="8.7109375" style="9" customWidth="1"/>
    <col min="9497" max="9497" width="13.85546875" style="9" customWidth="1"/>
    <col min="9498" max="9740" width="8.7109375" style="9"/>
    <col min="9741" max="9741" width="17.28515625" style="9" customWidth="1"/>
    <col min="9742" max="9742" width="9.28515625" style="9" customWidth="1"/>
    <col min="9743" max="9745" width="9" style="9" customWidth="1"/>
    <col min="9746" max="9746" width="6.5703125" style="9" customWidth="1"/>
    <col min="9747" max="9750" width="9" style="9" customWidth="1"/>
    <col min="9751" max="9752" width="8.7109375" style="9" customWidth="1"/>
    <col min="9753" max="9753" width="13.85546875" style="9" customWidth="1"/>
    <col min="9754" max="9996" width="8.7109375" style="9"/>
    <col min="9997" max="9997" width="17.28515625" style="9" customWidth="1"/>
    <col min="9998" max="9998" width="9.28515625" style="9" customWidth="1"/>
    <col min="9999" max="10001" width="9" style="9" customWidth="1"/>
    <col min="10002" max="10002" width="6.5703125" style="9" customWidth="1"/>
    <col min="10003" max="10006" width="9" style="9" customWidth="1"/>
    <col min="10007" max="10008" width="8.7109375" style="9" customWidth="1"/>
    <col min="10009" max="10009" width="13.85546875" style="9" customWidth="1"/>
    <col min="10010" max="10252" width="8.7109375" style="9"/>
    <col min="10253" max="10253" width="17.28515625" style="9" customWidth="1"/>
    <col min="10254" max="10254" width="9.28515625" style="9" customWidth="1"/>
    <col min="10255" max="10257" width="9" style="9" customWidth="1"/>
    <col min="10258" max="10258" width="6.5703125" style="9" customWidth="1"/>
    <col min="10259" max="10262" width="9" style="9" customWidth="1"/>
    <col min="10263" max="10264" width="8.7109375" style="9" customWidth="1"/>
    <col min="10265" max="10265" width="13.85546875" style="9" customWidth="1"/>
    <col min="10266" max="10508" width="8.7109375" style="9"/>
    <col min="10509" max="10509" width="17.28515625" style="9" customWidth="1"/>
    <col min="10510" max="10510" width="9.28515625" style="9" customWidth="1"/>
    <col min="10511" max="10513" width="9" style="9" customWidth="1"/>
    <col min="10514" max="10514" width="6.5703125" style="9" customWidth="1"/>
    <col min="10515" max="10518" width="9" style="9" customWidth="1"/>
    <col min="10519" max="10520" width="8.7109375" style="9" customWidth="1"/>
    <col min="10521" max="10521" width="13.85546875" style="9" customWidth="1"/>
    <col min="10522" max="10764" width="8.7109375" style="9"/>
    <col min="10765" max="10765" width="17.28515625" style="9" customWidth="1"/>
    <col min="10766" max="10766" width="9.28515625" style="9" customWidth="1"/>
    <col min="10767" max="10769" width="9" style="9" customWidth="1"/>
    <col min="10770" max="10770" width="6.5703125" style="9" customWidth="1"/>
    <col min="10771" max="10774" width="9" style="9" customWidth="1"/>
    <col min="10775" max="10776" width="8.7109375" style="9" customWidth="1"/>
    <col min="10777" max="10777" width="13.85546875" style="9" customWidth="1"/>
    <col min="10778" max="11020" width="8.7109375" style="9"/>
    <col min="11021" max="11021" width="17.28515625" style="9" customWidth="1"/>
    <col min="11022" max="11022" width="9.28515625" style="9" customWidth="1"/>
    <col min="11023" max="11025" width="9" style="9" customWidth="1"/>
    <col min="11026" max="11026" width="6.5703125" style="9" customWidth="1"/>
    <col min="11027" max="11030" width="9" style="9" customWidth="1"/>
    <col min="11031" max="11032" width="8.7109375" style="9" customWidth="1"/>
    <col min="11033" max="11033" width="13.85546875" style="9" customWidth="1"/>
    <col min="11034" max="11276" width="8.7109375" style="9"/>
    <col min="11277" max="11277" width="17.28515625" style="9" customWidth="1"/>
    <col min="11278" max="11278" width="9.28515625" style="9" customWidth="1"/>
    <col min="11279" max="11281" width="9" style="9" customWidth="1"/>
    <col min="11282" max="11282" width="6.5703125" style="9" customWidth="1"/>
    <col min="11283" max="11286" width="9" style="9" customWidth="1"/>
    <col min="11287" max="11288" width="8.7109375" style="9" customWidth="1"/>
    <col min="11289" max="11289" width="13.85546875" style="9" customWidth="1"/>
    <col min="11290" max="11532" width="8.7109375" style="9"/>
    <col min="11533" max="11533" width="17.28515625" style="9" customWidth="1"/>
    <col min="11534" max="11534" width="9.28515625" style="9" customWidth="1"/>
    <col min="11535" max="11537" width="9" style="9" customWidth="1"/>
    <col min="11538" max="11538" width="6.5703125" style="9" customWidth="1"/>
    <col min="11539" max="11542" width="9" style="9" customWidth="1"/>
    <col min="11543" max="11544" width="8.7109375" style="9" customWidth="1"/>
    <col min="11545" max="11545" width="13.85546875" style="9" customWidth="1"/>
    <col min="11546" max="11788" width="8.7109375" style="9"/>
    <col min="11789" max="11789" width="17.28515625" style="9" customWidth="1"/>
    <col min="11790" max="11790" width="9.28515625" style="9" customWidth="1"/>
    <col min="11791" max="11793" width="9" style="9" customWidth="1"/>
    <col min="11794" max="11794" width="6.5703125" style="9" customWidth="1"/>
    <col min="11795" max="11798" width="9" style="9" customWidth="1"/>
    <col min="11799" max="11800" width="8.7109375" style="9" customWidth="1"/>
    <col min="11801" max="11801" width="13.85546875" style="9" customWidth="1"/>
    <col min="11802" max="12044" width="8.7109375" style="9"/>
    <col min="12045" max="12045" width="17.28515625" style="9" customWidth="1"/>
    <col min="12046" max="12046" width="9.28515625" style="9" customWidth="1"/>
    <col min="12047" max="12049" width="9" style="9" customWidth="1"/>
    <col min="12050" max="12050" width="6.5703125" style="9" customWidth="1"/>
    <col min="12051" max="12054" width="9" style="9" customWidth="1"/>
    <col min="12055" max="12056" width="8.7109375" style="9" customWidth="1"/>
    <col min="12057" max="12057" width="13.85546875" style="9" customWidth="1"/>
    <col min="12058" max="12300" width="8.7109375" style="9"/>
    <col min="12301" max="12301" width="17.28515625" style="9" customWidth="1"/>
    <col min="12302" max="12302" width="9.28515625" style="9" customWidth="1"/>
    <col min="12303" max="12305" width="9" style="9" customWidth="1"/>
    <col min="12306" max="12306" width="6.5703125" style="9" customWidth="1"/>
    <col min="12307" max="12310" width="9" style="9" customWidth="1"/>
    <col min="12311" max="12312" width="8.7109375" style="9" customWidth="1"/>
    <col min="12313" max="12313" width="13.85546875" style="9" customWidth="1"/>
    <col min="12314" max="12556" width="8.7109375" style="9"/>
    <col min="12557" max="12557" width="17.28515625" style="9" customWidth="1"/>
    <col min="12558" max="12558" width="9.28515625" style="9" customWidth="1"/>
    <col min="12559" max="12561" width="9" style="9" customWidth="1"/>
    <col min="12562" max="12562" width="6.5703125" style="9" customWidth="1"/>
    <col min="12563" max="12566" width="9" style="9" customWidth="1"/>
    <col min="12567" max="12568" width="8.7109375" style="9" customWidth="1"/>
    <col min="12569" max="12569" width="13.85546875" style="9" customWidth="1"/>
    <col min="12570" max="12812" width="8.7109375" style="9"/>
    <col min="12813" max="12813" width="17.28515625" style="9" customWidth="1"/>
    <col min="12814" max="12814" width="9.28515625" style="9" customWidth="1"/>
    <col min="12815" max="12817" width="9" style="9" customWidth="1"/>
    <col min="12818" max="12818" width="6.5703125" style="9" customWidth="1"/>
    <col min="12819" max="12822" width="9" style="9" customWidth="1"/>
    <col min="12823" max="12824" width="8.7109375" style="9" customWidth="1"/>
    <col min="12825" max="12825" width="13.85546875" style="9" customWidth="1"/>
    <col min="12826" max="13068" width="8.7109375" style="9"/>
    <col min="13069" max="13069" width="17.28515625" style="9" customWidth="1"/>
    <col min="13070" max="13070" width="9.28515625" style="9" customWidth="1"/>
    <col min="13071" max="13073" width="9" style="9" customWidth="1"/>
    <col min="13074" max="13074" width="6.5703125" style="9" customWidth="1"/>
    <col min="13075" max="13078" width="9" style="9" customWidth="1"/>
    <col min="13079" max="13080" width="8.7109375" style="9" customWidth="1"/>
    <col min="13081" max="13081" width="13.85546875" style="9" customWidth="1"/>
    <col min="13082" max="13324" width="8.7109375" style="9"/>
    <col min="13325" max="13325" width="17.28515625" style="9" customWidth="1"/>
    <col min="13326" max="13326" width="9.28515625" style="9" customWidth="1"/>
    <col min="13327" max="13329" width="9" style="9" customWidth="1"/>
    <col min="13330" max="13330" width="6.5703125" style="9" customWidth="1"/>
    <col min="13331" max="13334" width="9" style="9" customWidth="1"/>
    <col min="13335" max="13336" width="8.7109375" style="9" customWidth="1"/>
    <col min="13337" max="13337" width="13.85546875" style="9" customWidth="1"/>
    <col min="13338" max="13580" width="8.7109375" style="9"/>
    <col min="13581" max="13581" width="17.28515625" style="9" customWidth="1"/>
    <col min="13582" max="13582" width="9.28515625" style="9" customWidth="1"/>
    <col min="13583" max="13585" width="9" style="9" customWidth="1"/>
    <col min="13586" max="13586" width="6.5703125" style="9" customWidth="1"/>
    <col min="13587" max="13590" width="9" style="9" customWidth="1"/>
    <col min="13591" max="13592" width="8.7109375" style="9" customWidth="1"/>
    <col min="13593" max="13593" width="13.85546875" style="9" customWidth="1"/>
    <col min="13594" max="13836" width="8.7109375" style="9"/>
    <col min="13837" max="13837" width="17.28515625" style="9" customWidth="1"/>
    <col min="13838" max="13838" width="9.28515625" style="9" customWidth="1"/>
    <col min="13839" max="13841" width="9" style="9" customWidth="1"/>
    <col min="13842" max="13842" width="6.5703125" style="9" customWidth="1"/>
    <col min="13843" max="13846" width="9" style="9" customWidth="1"/>
    <col min="13847" max="13848" width="8.7109375" style="9" customWidth="1"/>
    <col min="13849" max="13849" width="13.85546875" style="9" customWidth="1"/>
    <col min="13850" max="14092" width="8.7109375" style="9"/>
    <col min="14093" max="14093" width="17.28515625" style="9" customWidth="1"/>
    <col min="14094" max="14094" width="9.28515625" style="9" customWidth="1"/>
    <col min="14095" max="14097" width="9" style="9" customWidth="1"/>
    <col min="14098" max="14098" width="6.5703125" style="9" customWidth="1"/>
    <col min="14099" max="14102" width="9" style="9" customWidth="1"/>
    <col min="14103" max="14104" width="8.7109375" style="9" customWidth="1"/>
    <col min="14105" max="14105" width="13.85546875" style="9" customWidth="1"/>
    <col min="14106" max="14348" width="8.7109375" style="9"/>
    <col min="14349" max="14349" width="17.28515625" style="9" customWidth="1"/>
    <col min="14350" max="14350" width="9.28515625" style="9" customWidth="1"/>
    <col min="14351" max="14353" width="9" style="9" customWidth="1"/>
    <col min="14354" max="14354" width="6.5703125" style="9" customWidth="1"/>
    <col min="14355" max="14358" width="9" style="9" customWidth="1"/>
    <col min="14359" max="14360" width="8.7109375" style="9" customWidth="1"/>
    <col min="14361" max="14361" width="13.85546875" style="9" customWidth="1"/>
    <col min="14362" max="14604" width="8.7109375" style="9"/>
    <col min="14605" max="14605" width="17.28515625" style="9" customWidth="1"/>
    <col min="14606" max="14606" width="9.28515625" style="9" customWidth="1"/>
    <col min="14607" max="14609" width="9" style="9" customWidth="1"/>
    <col min="14610" max="14610" width="6.5703125" style="9" customWidth="1"/>
    <col min="14611" max="14614" width="9" style="9" customWidth="1"/>
    <col min="14615" max="14616" width="8.7109375" style="9" customWidth="1"/>
    <col min="14617" max="14617" width="13.85546875" style="9" customWidth="1"/>
    <col min="14618" max="14860" width="8.7109375" style="9"/>
    <col min="14861" max="14861" width="17.28515625" style="9" customWidth="1"/>
    <col min="14862" max="14862" width="9.28515625" style="9" customWidth="1"/>
    <col min="14863" max="14865" width="9" style="9" customWidth="1"/>
    <col min="14866" max="14866" width="6.5703125" style="9" customWidth="1"/>
    <col min="14867" max="14870" width="9" style="9" customWidth="1"/>
    <col min="14871" max="14872" width="8.7109375" style="9" customWidth="1"/>
    <col min="14873" max="14873" width="13.85546875" style="9" customWidth="1"/>
    <col min="14874" max="15116" width="8.7109375" style="9"/>
    <col min="15117" max="15117" width="17.28515625" style="9" customWidth="1"/>
    <col min="15118" max="15118" width="9.28515625" style="9" customWidth="1"/>
    <col min="15119" max="15121" width="9" style="9" customWidth="1"/>
    <col min="15122" max="15122" width="6.5703125" style="9" customWidth="1"/>
    <col min="15123" max="15126" width="9" style="9" customWidth="1"/>
    <col min="15127" max="15128" width="8.7109375" style="9" customWidth="1"/>
    <col min="15129" max="15129" width="13.85546875" style="9" customWidth="1"/>
    <col min="15130" max="15372" width="8.7109375" style="9"/>
    <col min="15373" max="15373" width="17.28515625" style="9" customWidth="1"/>
    <col min="15374" max="15374" width="9.28515625" style="9" customWidth="1"/>
    <col min="15375" max="15377" width="9" style="9" customWidth="1"/>
    <col min="15378" max="15378" width="6.5703125" style="9" customWidth="1"/>
    <col min="15379" max="15382" width="9" style="9" customWidth="1"/>
    <col min="15383" max="15384" width="8.7109375" style="9" customWidth="1"/>
    <col min="15385" max="15385" width="13.85546875" style="9" customWidth="1"/>
    <col min="15386" max="15628" width="8.7109375" style="9"/>
    <col min="15629" max="15629" width="17.28515625" style="9" customWidth="1"/>
    <col min="15630" max="15630" width="9.28515625" style="9" customWidth="1"/>
    <col min="15631" max="15633" width="9" style="9" customWidth="1"/>
    <col min="15634" max="15634" width="6.5703125" style="9" customWidth="1"/>
    <col min="15635" max="15638" width="9" style="9" customWidth="1"/>
    <col min="15639" max="15640" width="8.7109375" style="9" customWidth="1"/>
    <col min="15641" max="15641" width="13.85546875" style="9" customWidth="1"/>
    <col min="15642" max="15884" width="8.7109375" style="9"/>
    <col min="15885" max="15885" width="17.28515625" style="9" customWidth="1"/>
    <col min="15886" max="15886" width="9.28515625" style="9" customWidth="1"/>
    <col min="15887" max="15889" width="9" style="9" customWidth="1"/>
    <col min="15890" max="15890" width="6.5703125" style="9" customWidth="1"/>
    <col min="15891" max="15894" width="9" style="9" customWidth="1"/>
    <col min="15895" max="15896" width="8.7109375" style="9" customWidth="1"/>
    <col min="15897" max="15897" width="13.85546875" style="9" customWidth="1"/>
    <col min="15898" max="16140" width="8.7109375" style="9"/>
    <col min="16141" max="16141" width="17.28515625" style="9" customWidth="1"/>
    <col min="16142" max="16142" width="9.28515625" style="9" customWidth="1"/>
    <col min="16143" max="16145" width="9" style="9" customWidth="1"/>
    <col min="16146" max="16146" width="6.5703125" style="9" customWidth="1"/>
    <col min="16147" max="16150" width="9" style="9" customWidth="1"/>
    <col min="16151" max="16152" width="8.7109375" style="9" customWidth="1"/>
    <col min="16153" max="16153" width="13.85546875" style="9" customWidth="1"/>
    <col min="16154" max="16384" width="8.7109375" style="9"/>
  </cols>
  <sheetData>
    <row r="1" spans="1:36" ht="13.5" customHeight="1" x14ac:dyDescent="0.2"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R1" s="11"/>
    </row>
    <row r="2" spans="1:36" ht="25.5" customHeight="1" x14ac:dyDescent="0.45">
      <c r="A2" s="258" t="s">
        <v>91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13"/>
    </row>
    <row r="3" spans="1:36" ht="26.65" customHeight="1" x14ac:dyDescent="0.3">
      <c r="A3" s="260" t="s">
        <v>21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14"/>
    </row>
    <row r="4" spans="1:36" ht="18" customHeight="1" x14ac:dyDescent="0.25">
      <c r="B4" s="15" t="s">
        <v>3</v>
      </c>
      <c r="C4" s="262"/>
      <c r="D4" s="262"/>
      <c r="E4" s="263"/>
      <c r="F4" s="16"/>
      <c r="G4" s="16"/>
      <c r="H4" s="16"/>
      <c r="I4" s="16"/>
      <c r="J4" s="16"/>
      <c r="K4" s="16"/>
      <c r="L4" s="17"/>
      <c r="M4" s="15" t="s">
        <v>4</v>
      </c>
      <c r="N4" s="264"/>
      <c r="O4" s="265"/>
      <c r="P4" s="18"/>
    </row>
    <row r="5" spans="1:36" ht="18" customHeight="1" x14ac:dyDescent="0.25">
      <c r="B5" s="15" t="s">
        <v>5</v>
      </c>
      <c r="C5" s="19">
        <v>19</v>
      </c>
      <c r="D5" s="20"/>
      <c r="E5" s="21"/>
      <c r="F5" s="22"/>
      <c r="G5" s="22"/>
      <c r="H5" s="22"/>
      <c r="I5" s="22"/>
      <c r="J5" s="22"/>
      <c r="K5" s="22"/>
      <c r="L5" s="17"/>
      <c r="M5" s="15" t="s">
        <v>6</v>
      </c>
      <c r="N5" s="256"/>
      <c r="O5" s="257"/>
      <c r="P5" s="23"/>
    </row>
    <row r="6" spans="1:36" ht="18" customHeight="1" x14ac:dyDescent="0.25">
      <c r="B6" s="15" t="s">
        <v>7</v>
      </c>
      <c r="C6" s="24">
        <v>2.5</v>
      </c>
      <c r="D6" s="25"/>
      <c r="E6" s="26"/>
      <c r="F6" s="22"/>
      <c r="G6" s="22"/>
      <c r="H6" s="22"/>
      <c r="I6" s="22"/>
      <c r="J6" s="22"/>
      <c r="K6" s="22"/>
      <c r="L6" s="17"/>
      <c r="M6" s="15" t="s">
        <v>8</v>
      </c>
      <c r="N6" s="256"/>
      <c r="O6" s="257"/>
      <c r="P6" s="23"/>
      <c r="W6" s="243" t="s">
        <v>22</v>
      </c>
      <c r="X6" s="27"/>
      <c r="Y6" s="245" t="s">
        <v>23</v>
      </c>
    </row>
    <row r="7" spans="1:36" ht="18" customHeight="1" thickBot="1" x14ac:dyDescent="0.3">
      <c r="B7" s="12"/>
      <c r="C7" s="28" t="s">
        <v>24</v>
      </c>
      <c r="D7" s="28"/>
      <c r="E7" s="29"/>
      <c r="F7" s="22"/>
      <c r="G7" s="22"/>
      <c r="H7" s="22"/>
      <c r="I7" s="22"/>
      <c r="J7" s="22"/>
      <c r="K7" s="22"/>
      <c r="L7" s="17"/>
      <c r="M7" s="17"/>
      <c r="N7" s="17"/>
      <c r="O7" s="12"/>
      <c r="P7" s="22"/>
      <c r="Q7" s="22"/>
      <c r="R7" s="22"/>
      <c r="W7" s="244"/>
      <c r="X7" s="27" t="s">
        <v>25</v>
      </c>
      <c r="Y7" s="246"/>
    </row>
    <row r="8" spans="1:36" ht="36.75" customHeight="1" thickTop="1" thickBot="1" x14ac:dyDescent="0.3">
      <c r="B8" s="12"/>
      <c r="D8" s="26" t="s">
        <v>26</v>
      </c>
      <c r="E8" s="30">
        <v>250</v>
      </c>
      <c r="F8" s="31" t="s">
        <v>27</v>
      </c>
      <c r="G8" s="32">
        <v>0.98370000000000002</v>
      </c>
      <c r="H8" s="21" t="s">
        <v>28</v>
      </c>
      <c r="I8" s="33">
        <v>45</v>
      </c>
      <c r="J8" s="34" t="s">
        <v>29</v>
      </c>
      <c r="K8" s="35">
        <f>G8-((I8-15)*(0.00065))</f>
        <v>0.96420000000000006</v>
      </c>
      <c r="L8" s="36"/>
      <c r="M8" s="247" t="s">
        <v>30</v>
      </c>
      <c r="N8" s="248"/>
      <c r="O8" s="37">
        <v>2</v>
      </c>
      <c r="P8" s="23"/>
      <c r="Q8" s="23"/>
      <c r="R8" s="23"/>
      <c r="U8" s="9" t="s">
        <v>31</v>
      </c>
      <c r="V8" s="9">
        <f>E8/K8</f>
        <v>259.28230657539928</v>
      </c>
      <c r="W8" s="38" t="s">
        <v>32</v>
      </c>
      <c r="X8" s="39">
        <v>86</v>
      </c>
      <c r="Y8" s="40">
        <f>(SUMIF(A13:A16,"&gt;0",F13:F16)+V8)/(SUMIF(A13:A16,"&gt;0",D13:D16))</f>
        <v>0.80102778239343109</v>
      </c>
    </row>
    <row r="9" spans="1:36" ht="36.75" customHeight="1" thickTop="1" thickBot="1" x14ac:dyDescent="0.3">
      <c r="B9" s="12"/>
      <c r="D9" s="26" t="s">
        <v>87</v>
      </c>
      <c r="E9" s="30">
        <v>60</v>
      </c>
      <c r="F9" s="31" t="s">
        <v>27</v>
      </c>
      <c r="G9" s="41">
        <v>0.85860000000000003</v>
      </c>
      <c r="H9" s="21"/>
      <c r="I9" s="21"/>
      <c r="J9" s="34" t="s">
        <v>29</v>
      </c>
      <c r="K9" s="35">
        <f>G9-((C5-15)*(0.00065))</f>
        <v>0.85599999999999998</v>
      </c>
      <c r="L9" s="36"/>
      <c r="M9" s="36"/>
      <c r="N9" s="36"/>
      <c r="O9" s="42"/>
      <c r="P9" s="23"/>
      <c r="Q9" s="23"/>
      <c r="R9" s="23"/>
      <c r="U9" s="9" t="s">
        <v>96</v>
      </c>
      <c r="V9" s="9">
        <f>E9/K9</f>
        <v>70.09345794392523</v>
      </c>
      <c r="W9" s="43" t="s">
        <v>32</v>
      </c>
      <c r="X9" s="39">
        <v>85</v>
      </c>
      <c r="Y9" s="40">
        <f>(SUMIF(A22:A23,"&gt;0",F22:F23)+V9)/(SUMIF(A22:A23,"&gt;0",D22:D23))</f>
        <v>0.82045996302575419</v>
      </c>
    </row>
    <row r="10" spans="1:36" ht="18" customHeight="1" thickBot="1" x14ac:dyDescent="0.25"/>
    <row r="11" spans="1:36" ht="37.5" customHeight="1" thickBot="1" x14ac:dyDescent="0.25">
      <c r="A11" s="249" t="s">
        <v>33</v>
      </c>
      <c r="B11" s="251" t="s">
        <v>9</v>
      </c>
      <c r="C11" s="233" t="s">
        <v>34</v>
      </c>
      <c r="D11" s="235" t="s">
        <v>19</v>
      </c>
      <c r="E11" s="237" t="s">
        <v>35</v>
      </c>
      <c r="F11" s="238"/>
      <c r="G11" s="238"/>
      <c r="H11" s="238"/>
      <c r="I11" s="238"/>
      <c r="J11" s="238"/>
      <c r="K11" s="239"/>
      <c r="L11" s="254" t="s">
        <v>36</v>
      </c>
      <c r="M11" s="255"/>
      <c r="N11" s="255"/>
      <c r="O11" s="255"/>
      <c r="P11" s="242" t="s">
        <v>37</v>
      </c>
      <c r="Q11" s="239"/>
      <c r="U11" s="44"/>
      <c r="V11" s="45"/>
      <c r="W11" s="45"/>
      <c r="X11" s="46"/>
      <c r="Y11" s="46"/>
      <c r="Z11" s="47"/>
      <c r="AA11" s="47"/>
      <c r="AB11" s="47"/>
      <c r="AC11" s="47"/>
      <c r="AD11" s="47"/>
      <c r="AE11" s="48"/>
      <c r="AF11" s="48"/>
      <c r="AG11" s="48"/>
      <c r="AH11" s="48"/>
      <c r="AI11" s="227"/>
      <c r="AJ11" s="49"/>
    </row>
    <row r="12" spans="1:36" ht="42" customHeight="1" thickTop="1" thickBot="1" x14ac:dyDescent="0.25">
      <c r="A12" s="250"/>
      <c r="B12" s="252"/>
      <c r="C12" s="253"/>
      <c r="D12" s="236"/>
      <c r="E12" s="50" t="s">
        <v>17</v>
      </c>
      <c r="F12" s="51" t="s">
        <v>12</v>
      </c>
      <c r="G12" s="51" t="s">
        <v>13</v>
      </c>
      <c r="H12" s="51" t="s">
        <v>14</v>
      </c>
      <c r="I12" s="51" t="s">
        <v>27</v>
      </c>
      <c r="J12" s="51" t="s">
        <v>29</v>
      </c>
      <c r="K12" s="52" t="s">
        <v>20</v>
      </c>
      <c r="L12" s="50" t="s">
        <v>17</v>
      </c>
      <c r="M12" s="51" t="s">
        <v>12</v>
      </c>
      <c r="N12" s="51" t="s">
        <v>13</v>
      </c>
      <c r="O12" s="52" t="s">
        <v>20</v>
      </c>
      <c r="P12" s="53" t="s">
        <v>38</v>
      </c>
      <c r="Q12" s="54" t="s">
        <v>20</v>
      </c>
      <c r="U12" s="55" t="s">
        <v>39</v>
      </c>
      <c r="V12" s="56" t="s">
        <v>40</v>
      </c>
      <c r="W12" s="57" t="s">
        <v>41</v>
      </c>
      <c r="X12" s="57" t="s">
        <v>42</v>
      </c>
      <c r="Y12" s="46">
        <v>0.5</v>
      </c>
      <c r="Z12" s="47">
        <f>IFERROR(IF(MAX($V$13:$V$16)=Y12,IF(Y18&lt;0,Y12,""),Y12+0.5),"")</f>
        <v>1</v>
      </c>
      <c r="AA12" s="47" t="str">
        <f t="shared" ref="AA12:AE12" si="0">IFERROR(IF(MAX($V$13:$V$16)=Z12,IF(Z18&lt;0,Z12,""),Z12+0.5),"")</f>
        <v/>
      </c>
      <c r="AB12" s="47" t="str">
        <f t="shared" si="0"/>
        <v/>
      </c>
      <c r="AC12" s="47" t="str">
        <f t="shared" si="0"/>
        <v/>
      </c>
      <c r="AD12" s="47" t="str">
        <f t="shared" si="0"/>
        <v/>
      </c>
      <c r="AE12" s="47" t="str">
        <f t="shared" si="0"/>
        <v/>
      </c>
      <c r="AF12" s="47"/>
      <c r="AG12" s="47"/>
      <c r="AH12" s="47"/>
      <c r="AI12" s="228"/>
      <c r="AJ12" s="49"/>
    </row>
    <row r="13" spans="1:36" ht="21" customHeight="1" thickBot="1" x14ac:dyDescent="0.3">
      <c r="A13" s="58"/>
      <c r="B13" s="59" t="s">
        <v>43</v>
      </c>
      <c r="C13" s="60" t="s">
        <v>95</v>
      </c>
      <c r="D13" s="61">
        <v>138.34</v>
      </c>
      <c r="E13" s="62">
        <v>2.27</v>
      </c>
      <c r="F13" s="63">
        <f>'FO(1P)'!N5</f>
        <v>109.986</v>
      </c>
      <c r="G13" s="64">
        <f>F13/D13</f>
        <v>0.79504120283359836</v>
      </c>
      <c r="H13" s="65">
        <v>45</v>
      </c>
      <c r="I13" s="66" t="s">
        <v>88</v>
      </c>
      <c r="J13" s="67">
        <f>I13-((H13-15)*(0.00065))</f>
        <v>0.96420000000000006</v>
      </c>
      <c r="K13" s="68">
        <f>F13*J13</f>
        <v>106.0485012</v>
      </c>
      <c r="L13" s="69">
        <f>'FO(1P)'!K15</f>
        <v>2.2771780821917815</v>
      </c>
      <c r="M13" s="63">
        <f>F13+P13</f>
        <v>109.986</v>
      </c>
      <c r="N13" s="64">
        <f>M13/D13</f>
        <v>0.79504120283359836</v>
      </c>
      <c r="O13" s="68">
        <f>ROUND(K13,2)+ROUND(Q13,2)</f>
        <v>106.05</v>
      </c>
      <c r="P13" s="69">
        <f>SUM(Y13:AH13)</f>
        <v>0</v>
      </c>
      <c r="Q13" s="70">
        <f>P13*$K$8</f>
        <v>0</v>
      </c>
      <c r="R13" s="71" t="s">
        <v>15</v>
      </c>
      <c r="S13" s="72"/>
      <c r="T13" s="72"/>
      <c r="U13" s="73">
        <f>IF(E$8=0,"",A13-MIN(A$13:A$16)+1)</f>
        <v>0</v>
      </c>
      <c r="V13" s="73">
        <f>IF(R13="Fill to max",U13-0.5,U13)</f>
        <v>0</v>
      </c>
      <c r="W13" s="74">
        <f>IF($W$8="Yes",$Y$8*D13,D13*($X$8/100))</f>
        <v>110.81418341630726</v>
      </c>
      <c r="X13" s="74">
        <f>W13-F13</f>
        <v>0.82818341630725456</v>
      </c>
      <c r="Y13" s="74" t="str">
        <f>IF(Y$12="","",IF($V13=Y$12,$X13,""))</f>
        <v/>
      </c>
      <c r="Z13" s="74" t="str">
        <f>IF(Z$12="","",IF(Y$18&lt;0,IF(Y13="","",IF(_xlfn.RANK.EQ(Y13,Y$13:Y$16)=COUNT(Y$13:Y$16),Y$18,"")),IF($V13=Z$12,$X13,"")))</f>
        <v/>
      </c>
      <c r="AA13" s="74" t="str">
        <f t="shared" ref="AA13:AE13" si="1">IF(AA$12="","",IF(Z$18&lt;0,IF(Z13="","",IF(_xlfn.RANK.EQ(Z13,Z$13:Z$16)=COUNT(Z$13:Z$16),Z$18,"")),IF($V13=AA$12,$X13,"")))</f>
        <v/>
      </c>
      <c r="AB13" s="74" t="str">
        <f t="shared" si="1"/>
        <v/>
      </c>
      <c r="AC13" s="74" t="str">
        <f t="shared" si="1"/>
        <v/>
      </c>
      <c r="AD13" s="74" t="str">
        <f t="shared" si="1"/>
        <v/>
      </c>
      <c r="AE13" s="74" t="str">
        <f t="shared" si="1"/>
        <v/>
      </c>
      <c r="AF13" s="74"/>
      <c r="AG13" s="74"/>
      <c r="AH13" s="74"/>
      <c r="AI13" s="75"/>
      <c r="AJ13" s="49"/>
    </row>
    <row r="14" spans="1:36" ht="21" customHeight="1" thickBot="1" x14ac:dyDescent="0.3">
      <c r="A14" s="76"/>
      <c r="B14" s="77" t="s">
        <v>45</v>
      </c>
      <c r="C14" s="60" t="s">
        <v>95</v>
      </c>
      <c r="D14" s="79">
        <v>138.34</v>
      </c>
      <c r="E14" s="80">
        <v>2.5499999999999998</v>
      </c>
      <c r="F14" s="81">
        <f>'FO(1S)'!N5</f>
        <v>106.30399999999999</v>
      </c>
      <c r="G14" s="82">
        <f>F14/D14</f>
        <v>0.76842561804250387</v>
      </c>
      <c r="H14" s="83">
        <v>45</v>
      </c>
      <c r="I14" s="84" t="s">
        <v>88</v>
      </c>
      <c r="J14" s="85">
        <f>I14-((H14-15)*(0.00065))</f>
        <v>0.96420000000000006</v>
      </c>
      <c r="K14" s="86">
        <f>F14*J14</f>
        <v>102.4983168</v>
      </c>
      <c r="L14" s="87">
        <f>'FO(1S)'!K15</f>
        <v>2.5567567567567568</v>
      </c>
      <c r="M14" s="81">
        <f>F14+P14</f>
        <v>106.30399999999999</v>
      </c>
      <c r="N14" s="82">
        <f>M14/D14</f>
        <v>0.76842561804250387</v>
      </c>
      <c r="O14" s="86">
        <f t="shared" ref="O14:O16" si="2">ROUND(K14,2)+ROUND(Q14,2)</f>
        <v>102.5</v>
      </c>
      <c r="P14" s="87">
        <f t="shared" ref="P14:P16" si="3">SUM(Y14:AH14)</f>
        <v>0</v>
      </c>
      <c r="Q14" s="88">
        <f>P14*$K$8</f>
        <v>0</v>
      </c>
      <c r="R14" s="71" t="s">
        <v>15</v>
      </c>
      <c r="S14" s="72"/>
      <c r="T14" s="72"/>
      <c r="U14" s="73">
        <f>IF(E$8=0,"",A14-MIN(A$13:A$16)+1)</f>
        <v>0</v>
      </c>
      <c r="V14" s="73">
        <f t="shared" ref="V14:V16" si="4">IF(R14="Fill to max",U14-0.5,U14)</f>
        <v>0</v>
      </c>
      <c r="W14" s="74">
        <f t="shared" ref="W14:W16" si="5">IF($W$8="Yes",$Y$8*D14,D14*($X$8/100))</f>
        <v>110.81418341630726</v>
      </c>
      <c r="X14" s="74">
        <f>W14-F14</f>
        <v>4.5101834163072709</v>
      </c>
      <c r="Y14" s="74" t="str">
        <f t="shared" ref="Y14:Y16" si="6">IF(Y$12="","",IF($V14=Y$12,$X14,""))</f>
        <v/>
      </c>
      <c r="Z14" s="74" t="str">
        <f>IF(Z$12="","",IF(Y$18&lt;0,IF(Y14="","",IF(_xlfn.RANK.EQ(Y14,Y$13:Y$16)=COUNT(Y$13:Y$16),Y$18,"")),IF($V14=Z$12,$X14,"")))</f>
        <v/>
      </c>
      <c r="AA14" s="74" t="str">
        <f t="shared" ref="AA14:AE16" si="7">IF(AA$12="","",IF(Z$18&lt;0,IF(Z14="","",IF(_xlfn.RANK.EQ(Z14,Z$13:Z$16)=COUNT(Z$13:Z$16),Z$18,"")),IF($V14=AA$12,$X14,"")))</f>
        <v/>
      </c>
      <c r="AB14" s="74" t="str">
        <f t="shared" si="7"/>
        <v/>
      </c>
      <c r="AC14" s="74" t="str">
        <f t="shared" si="7"/>
        <v/>
      </c>
      <c r="AD14" s="74" t="str">
        <f t="shared" si="7"/>
        <v/>
      </c>
      <c r="AE14" s="74" t="str">
        <f t="shared" si="7"/>
        <v/>
      </c>
      <c r="AF14" s="74"/>
      <c r="AG14" s="74"/>
      <c r="AH14" s="74"/>
      <c r="AI14" s="75"/>
      <c r="AJ14" s="49"/>
    </row>
    <row r="15" spans="1:36" ht="21" customHeight="1" thickBot="1" x14ac:dyDescent="0.3">
      <c r="A15" s="76">
        <v>1</v>
      </c>
      <c r="B15" s="77" t="s">
        <v>47</v>
      </c>
      <c r="C15" s="60" t="s">
        <v>95</v>
      </c>
      <c r="D15" s="79">
        <v>230.84</v>
      </c>
      <c r="E15" s="80">
        <v>7.43</v>
      </c>
      <c r="F15" s="81">
        <f>'FO(2P)'!N5</f>
        <v>57.39</v>
      </c>
      <c r="G15" s="82">
        <f>F15/D15</f>
        <v>0.24861375844740946</v>
      </c>
      <c r="H15" s="83">
        <v>15</v>
      </c>
      <c r="I15" s="84" t="s">
        <v>89</v>
      </c>
      <c r="J15" s="85">
        <f>I15-((H15-15)*(0.00065))</f>
        <v>0.98380000000000001</v>
      </c>
      <c r="K15" s="86">
        <f>F15*J15</f>
        <v>56.460281999999999</v>
      </c>
      <c r="L15" s="87">
        <f>'FO(2P)'!K15</f>
        <v>2.2181453570614877</v>
      </c>
      <c r="M15" s="81">
        <f>F15+P15</f>
        <v>184.90925328769964</v>
      </c>
      <c r="N15" s="82">
        <f>M15/D15</f>
        <v>0.80102778239343109</v>
      </c>
      <c r="O15" s="86">
        <f t="shared" ref="O15" si="8">ROUND(K15,2)+ROUND(Q15,2)</f>
        <v>179.41</v>
      </c>
      <c r="P15" s="87">
        <f t="shared" ref="P15" si="9">SUM(Y15:AH15)</f>
        <v>127.51925328769964</v>
      </c>
      <c r="Q15" s="88">
        <f>P15*$K$8</f>
        <v>122.95406402</v>
      </c>
      <c r="R15" s="71" t="s">
        <v>15</v>
      </c>
      <c r="S15" s="72"/>
      <c r="T15" s="72"/>
      <c r="U15" s="73">
        <f>IF(E$8=0,"",A15-MIN(A$13:A$16)+1)</f>
        <v>1</v>
      </c>
      <c r="V15" s="73">
        <f t="shared" ref="V15" si="10">IF(R15="Fill to max",U15-0.5,U15)</f>
        <v>1</v>
      </c>
      <c r="W15" s="74">
        <f t="shared" ref="W15" si="11">IF($W$8="Yes",$Y$8*D15,D15*($X$8/100))</f>
        <v>184.90925328769964</v>
      </c>
      <c r="X15" s="74">
        <f>W15-F15</f>
        <v>127.51925328769964</v>
      </c>
      <c r="Y15" s="74" t="str">
        <f t="shared" si="6"/>
        <v/>
      </c>
      <c r="Z15" s="74">
        <f>IF(Z$12="","",IF(Y$18&lt;0,IF(Y15="","",IF(_xlfn.RANK.EQ(Y15,Y$13:Y$16)=COUNT(Y$13:Y$16),Y$18,"")),IF($V15=Z$12,$X15,"")))</f>
        <v>127.51925328769964</v>
      </c>
      <c r="AA15" s="74" t="str">
        <f t="shared" si="7"/>
        <v/>
      </c>
      <c r="AB15" s="74" t="str">
        <f t="shared" si="7"/>
        <v/>
      </c>
      <c r="AC15" s="74" t="str">
        <f t="shared" si="7"/>
        <v/>
      </c>
      <c r="AD15" s="74" t="str">
        <f t="shared" si="7"/>
        <v/>
      </c>
      <c r="AE15" s="74" t="str">
        <f t="shared" si="7"/>
        <v/>
      </c>
      <c r="AF15" s="74"/>
      <c r="AG15" s="74"/>
      <c r="AH15" s="74"/>
      <c r="AI15" s="75"/>
      <c r="AJ15" s="49"/>
    </row>
    <row r="16" spans="1:36" ht="21" customHeight="1" thickBot="1" x14ac:dyDescent="0.3">
      <c r="A16" s="89">
        <v>1</v>
      </c>
      <c r="B16" s="90" t="s">
        <v>46</v>
      </c>
      <c r="C16" s="60" t="s">
        <v>95</v>
      </c>
      <c r="D16" s="91">
        <v>230.84</v>
      </c>
      <c r="E16" s="92">
        <v>7.6</v>
      </c>
      <c r="F16" s="93">
        <f>'FO(2S)'!N5</f>
        <v>53.1462</v>
      </c>
      <c r="G16" s="94">
        <f>F16/D16</f>
        <v>0.23022959625714781</v>
      </c>
      <c r="H16" s="95">
        <v>15</v>
      </c>
      <c r="I16" s="96" t="s">
        <v>89</v>
      </c>
      <c r="J16" s="97">
        <f>I16-((H16-15)*(0.00065))</f>
        <v>0.98380000000000001</v>
      </c>
      <c r="K16" s="98">
        <f>F16*J16</f>
        <v>52.28523156</v>
      </c>
      <c r="L16" s="99">
        <f>'FO(2S)'!K15</f>
        <v>2.21442404558608</v>
      </c>
      <c r="M16" s="93">
        <f>F16+P16</f>
        <v>184.90925328769964</v>
      </c>
      <c r="N16" s="94">
        <f>M16/D16</f>
        <v>0.80102778239343109</v>
      </c>
      <c r="O16" s="98">
        <f t="shared" si="2"/>
        <v>179.34</v>
      </c>
      <c r="P16" s="99">
        <f t="shared" si="3"/>
        <v>131.76305328769965</v>
      </c>
      <c r="Q16" s="100">
        <f>P16*$K$8</f>
        <v>127.04593598000001</v>
      </c>
      <c r="R16" s="71" t="s">
        <v>15</v>
      </c>
      <c r="S16" s="72"/>
      <c r="T16" s="101"/>
      <c r="U16" s="73">
        <f>IF(E$8=0,"",A16-MIN(A$13:A$16)+1)</f>
        <v>1</v>
      </c>
      <c r="V16" s="73">
        <f t="shared" si="4"/>
        <v>1</v>
      </c>
      <c r="W16" s="74">
        <f t="shared" si="5"/>
        <v>184.90925328769964</v>
      </c>
      <c r="X16" s="74">
        <f>W16-F16</f>
        <v>131.76305328769965</v>
      </c>
      <c r="Y16" s="74" t="str">
        <f t="shared" si="6"/>
        <v/>
      </c>
      <c r="Z16" s="74">
        <f>IF(Z$12="","",IF(Y$18&lt;0,IF(Y16="","",IF(_xlfn.RANK.EQ(Y16,Y$13:Y$16)=COUNT(Y$13:Y$16),Y$18,"")),IF($V16=Z$12,$X16,"")))</f>
        <v>131.76305328769965</v>
      </c>
      <c r="AA16" s="74" t="str">
        <f t="shared" si="7"/>
        <v/>
      </c>
      <c r="AB16" s="74" t="str">
        <f t="shared" si="7"/>
        <v/>
      </c>
      <c r="AC16" s="74" t="str">
        <f t="shared" si="7"/>
        <v/>
      </c>
      <c r="AD16" s="74" t="str">
        <f t="shared" si="7"/>
        <v/>
      </c>
      <c r="AE16" s="74" t="str">
        <f t="shared" si="7"/>
        <v/>
      </c>
      <c r="AF16" s="74"/>
      <c r="AG16" s="74"/>
      <c r="AH16" s="74"/>
      <c r="AI16" s="75"/>
      <c r="AJ16" s="49"/>
    </row>
    <row r="17" spans="1:36" s="104" customFormat="1" ht="22.15" customHeight="1" thickBot="1" x14ac:dyDescent="0.3">
      <c r="A17" s="102"/>
      <c r="B17" s="103" t="s">
        <v>10</v>
      </c>
      <c r="D17" s="105">
        <f>SUM(D13:D16)</f>
        <v>738.36</v>
      </c>
      <c r="E17" s="106"/>
      <c r="F17" s="107">
        <f>SUM(F13:F16)</f>
        <v>326.82620000000003</v>
      </c>
      <c r="G17" s="102"/>
      <c r="H17" s="102"/>
      <c r="I17" s="106"/>
      <c r="J17" s="106"/>
      <c r="K17" s="107">
        <f>SUM(K13:K16)</f>
        <v>317.29233155999998</v>
      </c>
      <c r="L17" s="106"/>
      <c r="M17" s="107">
        <f>SUM(M13:M16)</f>
        <v>586.10850657539936</v>
      </c>
      <c r="N17" s="102"/>
      <c r="O17" s="108">
        <f>SUM(O13:O16)</f>
        <v>567.30000000000007</v>
      </c>
      <c r="P17" s="107">
        <f>SUMIF(P13:P16,"&gt;0")</f>
        <v>259.28230657539928</v>
      </c>
      <c r="Q17" s="109">
        <f>P17*$K$8</f>
        <v>250</v>
      </c>
      <c r="R17" s="104" t="str">
        <f>VLOOKUP(TRUE,U29:W34,3,FALSE)</f>
        <v/>
      </c>
      <c r="U17" s="49"/>
      <c r="V17" s="102"/>
      <c r="W17" s="110">
        <f>SUM(W11:W16)</f>
        <v>591.44687340801374</v>
      </c>
      <c r="X17" s="110">
        <f>SUM(X13:X16)</f>
        <v>264.62067340801377</v>
      </c>
      <c r="Y17" s="110">
        <f>SUM(Y13:Y16)</f>
        <v>0</v>
      </c>
      <c r="Z17" s="110">
        <f>IF(ISNUMBER(Z$12),SUM(Z13:Z16),"")</f>
        <v>259.28230657539928</v>
      </c>
      <c r="AA17" s="110" t="str">
        <f t="shared" ref="AA17:AE17" si="12">IF(ISNUMBER(AA$12),SUM(AA13:AA16),"")</f>
        <v/>
      </c>
      <c r="AB17" s="110" t="str">
        <f t="shared" si="12"/>
        <v/>
      </c>
      <c r="AC17" s="110" t="str">
        <f t="shared" si="12"/>
        <v/>
      </c>
      <c r="AD17" s="110" t="str">
        <f t="shared" si="12"/>
        <v/>
      </c>
      <c r="AE17" s="110" t="str">
        <f t="shared" si="12"/>
        <v/>
      </c>
      <c r="AF17" s="110"/>
      <c r="AG17" s="110"/>
      <c r="AH17" s="110"/>
      <c r="AI17" s="111"/>
      <c r="AJ17" s="102"/>
    </row>
    <row r="18" spans="1:36" s="104" customFormat="1" ht="22.5" customHeight="1" x14ac:dyDescent="0.25">
      <c r="B18" s="112"/>
      <c r="C18" s="113"/>
      <c r="D18" s="113"/>
      <c r="E18" s="113"/>
      <c r="F18" s="114"/>
      <c r="I18" s="115"/>
      <c r="J18" s="115"/>
      <c r="K18" s="114"/>
      <c r="L18" s="113"/>
      <c r="M18" s="114"/>
      <c r="P18" s="115"/>
      <c r="Q18" s="115"/>
      <c r="R18" s="114"/>
      <c r="U18" s="49"/>
      <c r="V18" s="102"/>
      <c r="W18" s="73"/>
      <c r="X18" s="73"/>
      <c r="Y18" s="116">
        <f>IF(ISNUMBER(Y$12),$V$8-Y$17,"")</f>
        <v>259.28230657539928</v>
      </c>
      <c r="Z18" s="116">
        <f>IF(ISNUMBER(Z$12),Y$18-Z$17,"")</f>
        <v>0</v>
      </c>
      <c r="AA18" s="116" t="str">
        <f t="shared" ref="AA18:AE18" si="13">IF(ISNUMBER(AA$12),Z$18-AA$17,"")</f>
        <v/>
      </c>
      <c r="AB18" s="116" t="str">
        <f t="shared" si="13"/>
        <v/>
      </c>
      <c r="AC18" s="116" t="str">
        <f t="shared" si="13"/>
        <v/>
      </c>
      <c r="AD18" s="116" t="str">
        <f t="shared" si="13"/>
        <v/>
      </c>
      <c r="AE18" s="116" t="str">
        <f t="shared" si="13"/>
        <v/>
      </c>
      <c r="AF18" s="116"/>
      <c r="AG18" s="116"/>
      <c r="AH18" s="116"/>
      <c r="AI18" s="102"/>
      <c r="AJ18" s="102"/>
    </row>
    <row r="19" spans="1:36" s="104" customFormat="1" ht="22.5" customHeight="1" thickBot="1" x14ac:dyDescent="0.3">
      <c r="B19" s="112"/>
      <c r="C19" s="113"/>
      <c r="D19" s="113"/>
      <c r="E19" s="113"/>
      <c r="F19" s="114"/>
      <c r="I19" s="115"/>
      <c r="J19" s="115"/>
      <c r="K19" s="114"/>
      <c r="L19" s="113"/>
      <c r="M19" s="114"/>
      <c r="P19" s="115"/>
      <c r="Q19" s="115"/>
      <c r="R19" s="114"/>
      <c r="U19" s="49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</row>
    <row r="20" spans="1:36" s="104" customFormat="1" ht="37.5" customHeight="1" thickBot="1" x14ac:dyDescent="0.3">
      <c r="A20" s="229" t="s">
        <v>33</v>
      </c>
      <c r="B20" s="231" t="s">
        <v>9</v>
      </c>
      <c r="C20" s="233" t="s">
        <v>34</v>
      </c>
      <c r="D20" s="235" t="s">
        <v>19</v>
      </c>
      <c r="E20" s="237" t="s">
        <v>35</v>
      </c>
      <c r="F20" s="238"/>
      <c r="G20" s="238"/>
      <c r="H20" s="238"/>
      <c r="I20" s="238"/>
      <c r="J20" s="238"/>
      <c r="K20" s="239"/>
      <c r="L20" s="240" t="s">
        <v>36</v>
      </c>
      <c r="M20" s="241"/>
      <c r="N20" s="241"/>
      <c r="O20" s="241"/>
      <c r="P20" s="242" t="s">
        <v>37</v>
      </c>
      <c r="Q20" s="239"/>
      <c r="U20" s="49"/>
      <c r="W20" s="49"/>
      <c r="X20" s="49"/>
      <c r="Y20" s="117"/>
      <c r="Z20" s="118"/>
      <c r="AA20" s="118"/>
      <c r="AB20" s="118"/>
      <c r="AC20" s="118"/>
      <c r="AD20" s="118"/>
      <c r="AE20" s="119"/>
      <c r="AF20" s="119"/>
      <c r="AG20" s="119"/>
      <c r="AH20" s="119"/>
      <c r="AI20" s="118"/>
      <c r="AJ20" s="102"/>
    </row>
    <row r="21" spans="1:36" ht="42.75" customHeight="1" thickTop="1" thickBot="1" x14ac:dyDescent="0.3">
      <c r="A21" s="230"/>
      <c r="B21" s="232"/>
      <c r="C21" s="234"/>
      <c r="D21" s="236"/>
      <c r="E21" s="50" t="s">
        <v>18</v>
      </c>
      <c r="F21" s="51" t="s">
        <v>12</v>
      </c>
      <c r="G21" s="51" t="s">
        <v>13</v>
      </c>
      <c r="H21" s="51" t="s">
        <v>14</v>
      </c>
      <c r="I21" s="51" t="s">
        <v>27</v>
      </c>
      <c r="J21" s="51" t="s">
        <v>29</v>
      </c>
      <c r="K21" s="52" t="s">
        <v>20</v>
      </c>
      <c r="L21" s="50" t="s">
        <v>18</v>
      </c>
      <c r="M21" s="51" t="s">
        <v>12</v>
      </c>
      <c r="N21" s="51" t="s">
        <v>13</v>
      </c>
      <c r="O21" s="52" t="s">
        <v>20</v>
      </c>
      <c r="P21" s="120" t="s">
        <v>38</v>
      </c>
      <c r="Q21" s="54" t="s">
        <v>20</v>
      </c>
      <c r="R21" s="121"/>
      <c r="U21" s="55" t="s">
        <v>39</v>
      </c>
      <c r="V21" s="56" t="s">
        <v>40</v>
      </c>
      <c r="W21" s="57" t="s">
        <v>41</v>
      </c>
      <c r="X21" s="57" t="s">
        <v>42</v>
      </c>
      <c r="Y21" s="46">
        <v>0.5</v>
      </c>
      <c r="Z21" s="47">
        <f t="shared" ref="Z21:AI21" si="14">IFERROR(IF(MAX($V$22:$V$23)=Y21,IF(Y25&lt;0,Y21,""),Y21+0.5),"")</f>
        <v>1</v>
      </c>
      <c r="AA21" s="47" t="str">
        <f t="shared" si="14"/>
        <v/>
      </c>
      <c r="AB21" s="47" t="str">
        <f t="shared" si="14"/>
        <v/>
      </c>
      <c r="AC21" s="47" t="str">
        <f t="shared" si="14"/>
        <v/>
      </c>
      <c r="AD21" s="47" t="str">
        <f t="shared" si="14"/>
        <v/>
      </c>
      <c r="AE21" s="47" t="str">
        <f t="shared" si="14"/>
        <v/>
      </c>
      <c r="AF21" s="47" t="str">
        <f t="shared" si="14"/>
        <v/>
      </c>
      <c r="AG21" s="47" t="str">
        <f t="shared" si="14"/>
        <v/>
      </c>
      <c r="AH21" s="47" t="str">
        <f t="shared" si="14"/>
        <v/>
      </c>
      <c r="AI21" s="47" t="str">
        <f t="shared" si="14"/>
        <v/>
      </c>
      <c r="AJ21" s="49"/>
    </row>
    <row r="22" spans="1:36" ht="21" customHeight="1" x14ac:dyDescent="0.25">
      <c r="A22" s="122">
        <v>1</v>
      </c>
      <c r="B22" s="123" t="s">
        <v>48</v>
      </c>
      <c r="C22" s="78" t="s">
        <v>87</v>
      </c>
      <c r="D22" s="124">
        <v>54.85</v>
      </c>
      <c r="E22" s="80">
        <v>2.27</v>
      </c>
      <c r="F22" s="125">
        <f>'DO(P)'!N5</f>
        <v>9.261000000000001</v>
      </c>
      <c r="G22" s="82">
        <f>F22/D22</f>
        <v>0.16884229717411123</v>
      </c>
      <c r="H22" s="126">
        <f>$C$5</f>
        <v>19</v>
      </c>
      <c r="I22" s="127" t="s">
        <v>90</v>
      </c>
      <c r="J22" s="128">
        <f>I22-((H22-15)*(0.00065))</f>
        <v>0.85599999999999998</v>
      </c>
      <c r="K22" s="129">
        <f>F22*J22</f>
        <v>7.9274160000000009</v>
      </c>
      <c r="L22" s="130">
        <f>'DO(P)'!L15</f>
        <v>6.0298192828533281</v>
      </c>
      <c r="M22" s="81">
        <f>F22+P22</f>
        <v>45.002228971962616</v>
      </c>
      <c r="N22" s="82">
        <f>M22/D22</f>
        <v>0.82045996302575419</v>
      </c>
      <c r="O22" s="131">
        <f>ROUND(K22,2)+ROUND(Q22,2)</f>
        <v>38.519999999999996</v>
      </c>
      <c r="P22" s="69">
        <f t="shared" ref="P22:P23" si="15">SUM(Y22:AI22)</f>
        <v>35.741228971962613</v>
      </c>
      <c r="Q22" s="132">
        <f t="shared" ref="Q22:Q23" si="16">P22*$K$9</f>
        <v>30.594491999999995</v>
      </c>
      <c r="R22" s="71" t="s">
        <v>15</v>
      </c>
      <c r="S22" s="133"/>
      <c r="T22" s="133"/>
      <c r="U22" s="73">
        <f>IF(E9=0,"",A22-MIN($A$22:$A$23)+1)</f>
        <v>1</v>
      </c>
      <c r="V22" s="73">
        <f t="shared" ref="V22:V23" si="17">IF(R22="Fill to max",U22-0.5,U22)</f>
        <v>1</v>
      </c>
      <c r="W22" s="74">
        <f t="shared" ref="W22:W23" si="18">IF($W$9="Yes",$Y$9*D22,(D22*($X$9/100)))</f>
        <v>45.002228971962616</v>
      </c>
      <c r="X22" s="74">
        <f>W22-F22</f>
        <v>35.741228971962613</v>
      </c>
      <c r="Y22" s="74" t="str">
        <f t="shared" ref="Y22:Y23" si="19">IF(Y$21="","",IF($V22=Y$21,$X22,""))</f>
        <v/>
      </c>
      <c r="Z22" s="74">
        <f t="shared" ref="Z22:AI22" si="20">IF(Z$21="","",IF(Y$25&lt;0,IF(Y22="","",IF(_xlfn.RANK.EQ(Y22,Y$22:Y$23)=COUNT(Y$22:Y$23),Y$25,"")),IF($V22=Z$21,$X22,"")))</f>
        <v>35.741228971962613</v>
      </c>
      <c r="AA22" s="74" t="str">
        <f t="shared" si="20"/>
        <v/>
      </c>
      <c r="AB22" s="74" t="str">
        <f t="shared" si="20"/>
        <v/>
      </c>
      <c r="AC22" s="74" t="str">
        <f t="shared" si="20"/>
        <v/>
      </c>
      <c r="AD22" s="74" t="str">
        <f t="shared" si="20"/>
        <v/>
      </c>
      <c r="AE22" s="74" t="str">
        <f t="shared" si="20"/>
        <v/>
      </c>
      <c r="AF22" s="74" t="str">
        <f t="shared" si="20"/>
        <v/>
      </c>
      <c r="AG22" s="74" t="str">
        <f t="shared" si="20"/>
        <v/>
      </c>
      <c r="AH22" s="74" t="str">
        <f t="shared" si="20"/>
        <v/>
      </c>
      <c r="AI22" s="74" t="str">
        <f t="shared" si="20"/>
        <v/>
      </c>
      <c r="AJ22" s="49"/>
    </row>
    <row r="23" spans="1:36" ht="21" customHeight="1" x14ac:dyDescent="0.25">
      <c r="A23" s="122">
        <v>1</v>
      </c>
      <c r="B23" s="123" t="s">
        <v>49</v>
      </c>
      <c r="C23" s="78" t="s">
        <v>87</v>
      </c>
      <c r="D23" s="124">
        <v>54.85</v>
      </c>
      <c r="E23" s="80">
        <v>2.44</v>
      </c>
      <c r="F23" s="125">
        <f>'DO(S)'!N5</f>
        <v>10.65</v>
      </c>
      <c r="G23" s="82">
        <f>F23/D23</f>
        <v>0.19416590701914313</v>
      </c>
      <c r="H23" s="126">
        <f>$C$5</f>
        <v>19</v>
      </c>
      <c r="I23" s="127" t="s">
        <v>90</v>
      </c>
      <c r="J23" s="128">
        <f t="shared" ref="J23" si="21">I23-((H23-15)*(0.00065))</f>
        <v>0.85599999999999998</v>
      </c>
      <c r="K23" s="129">
        <f t="shared" ref="K23" si="22">F23*J23</f>
        <v>9.1164000000000005</v>
      </c>
      <c r="L23" s="130">
        <f>'DO(S)'!L15</f>
        <v>6.0298192828533281</v>
      </c>
      <c r="M23" s="81">
        <f>F23+P23</f>
        <v>45.002228971962616</v>
      </c>
      <c r="N23" s="82">
        <f>M23/D23</f>
        <v>0.82045996302575419</v>
      </c>
      <c r="O23" s="131">
        <f t="shared" ref="O23" si="23">ROUND(K23,2)+ROUND(Q23,2)</f>
        <v>38.53</v>
      </c>
      <c r="P23" s="69">
        <f t="shared" si="15"/>
        <v>34.352228971962617</v>
      </c>
      <c r="Q23" s="132">
        <f t="shared" si="16"/>
        <v>29.405508000000001</v>
      </c>
      <c r="R23" s="71" t="s">
        <v>15</v>
      </c>
      <c r="S23" s="133"/>
      <c r="T23" s="133"/>
      <c r="U23" s="73">
        <f>IF(E9=0,"",A23-MIN($A$22:$A$23)+1)</f>
        <v>1</v>
      </c>
      <c r="V23" s="73">
        <f t="shared" si="17"/>
        <v>1</v>
      </c>
      <c r="W23" s="74">
        <f t="shared" si="18"/>
        <v>45.002228971962616</v>
      </c>
      <c r="X23" s="74">
        <f>W23-F23</f>
        <v>34.352228971962617</v>
      </c>
      <c r="Y23" s="74" t="str">
        <f t="shared" si="19"/>
        <v/>
      </c>
      <c r="Z23" s="74">
        <f t="shared" ref="Z23:AI23" si="24">IF(Z$21="","",IF(Y$25&lt;0,IF(Y23="","",IF(_xlfn.RANK.EQ(Y23,Y$22:Y$23)=COUNT(Y$22:Y$23),Y$25,"")),IF($V23=Z$21,$X23,"")))</f>
        <v>34.352228971962617</v>
      </c>
      <c r="AA23" s="74" t="str">
        <f t="shared" si="24"/>
        <v/>
      </c>
      <c r="AB23" s="74" t="str">
        <f t="shared" si="24"/>
        <v/>
      </c>
      <c r="AC23" s="74" t="str">
        <f t="shared" si="24"/>
        <v/>
      </c>
      <c r="AD23" s="74" t="str">
        <f t="shared" si="24"/>
        <v/>
      </c>
      <c r="AE23" s="74" t="str">
        <f t="shared" si="24"/>
        <v/>
      </c>
      <c r="AF23" s="74" t="str">
        <f t="shared" si="24"/>
        <v/>
      </c>
      <c r="AG23" s="74" t="str">
        <f t="shared" si="24"/>
        <v/>
      </c>
      <c r="AH23" s="74" t="str">
        <f t="shared" si="24"/>
        <v/>
      </c>
      <c r="AI23" s="74" t="str">
        <f t="shared" si="24"/>
        <v/>
      </c>
      <c r="AJ23" s="49"/>
    </row>
    <row r="24" spans="1:36" s="134" customFormat="1" ht="22.15" customHeight="1" thickBot="1" x14ac:dyDescent="0.3">
      <c r="A24" s="102"/>
      <c r="B24" s="103" t="s">
        <v>10</v>
      </c>
      <c r="D24" s="135">
        <f>SUM(D22:D23)</f>
        <v>109.7</v>
      </c>
      <c r="E24" s="106"/>
      <c r="F24" s="107">
        <f>SUM(F22:F23)</f>
        <v>19.911000000000001</v>
      </c>
      <c r="G24" s="104"/>
      <c r="H24" s="110"/>
      <c r="I24" s="110"/>
      <c r="J24" s="110"/>
      <c r="K24" s="107">
        <f>SUM(K22:K23)</f>
        <v>17.043816</v>
      </c>
      <c r="L24" s="136"/>
      <c r="M24" s="107">
        <f>SUM(M22:M23)</f>
        <v>90.004457943925232</v>
      </c>
      <c r="N24" s="136"/>
      <c r="O24" s="108">
        <f>SUM(O22:O23)</f>
        <v>77.05</v>
      </c>
      <c r="P24" s="107">
        <f>SUMIF(P22:P23,"&gt;0")</f>
        <v>70.09345794392523</v>
      </c>
      <c r="Q24" s="137">
        <f>P24*$K$9</f>
        <v>59.999999999999993</v>
      </c>
      <c r="R24" s="102" t="str">
        <f>VLOOKUP(TRUE,V29:W34,2,FALSE)</f>
        <v/>
      </c>
      <c r="U24" s="27"/>
      <c r="V24" s="106"/>
      <c r="W24" s="110">
        <f>SUM(W22:W23)</f>
        <v>90.004457943925232</v>
      </c>
      <c r="X24" s="110">
        <f>SUM(X22:X23)</f>
        <v>70.09345794392523</v>
      </c>
      <c r="Y24" s="110">
        <f>SUM(Y22:Y23)</f>
        <v>0</v>
      </c>
      <c r="Z24" s="110">
        <f t="shared" ref="Z24:AI24" si="25">IF(ISNUMBER(Z$21),SUM(Z22:Z23),"")</f>
        <v>70.09345794392523</v>
      </c>
      <c r="AA24" s="110" t="str">
        <f t="shared" si="25"/>
        <v/>
      </c>
      <c r="AB24" s="110" t="str">
        <f t="shared" si="25"/>
        <v/>
      </c>
      <c r="AC24" s="110" t="str">
        <f t="shared" si="25"/>
        <v/>
      </c>
      <c r="AD24" s="110" t="str">
        <f t="shared" si="25"/>
        <v/>
      </c>
      <c r="AE24" s="110" t="str">
        <f t="shared" si="25"/>
        <v/>
      </c>
      <c r="AF24" s="110" t="str">
        <f t="shared" si="25"/>
        <v/>
      </c>
      <c r="AG24" s="110" t="str">
        <f t="shared" si="25"/>
        <v/>
      </c>
      <c r="AH24" s="110" t="str">
        <f t="shared" si="25"/>
        <v/>
      </c>
      <c r="AI24" s="110" t="str">
        <f t="shared" si="25"/>
        <v/>
      </c>
      <c r="AJ24" s="138"/>
    </row>
    <row r="25" spans="1:36" ht="11.25" customHeight="1" x14ac:dyDescent="0.2">
      <c r="U25" s="73"/>
      <c r="V25" s="73"/>
      <c r="W25" s="73"/>
      <c r="X25" s="73"/>
      <c r="Y25" s="116">
        <f>IF(ISNUMBER(Y$21),$V$9-Y$24,"")</f>
        <v>70.09345794392523</v>
      </c>
      <c r="Z25" s="116">
        <f t="shared" ref="Z25:AI25" si="26">IF(ISNUMBER(Z$21),Y$25-Z$24,"")</f>
        <v>0</v>
      </c>
      <c r="AA25" s="116" t="str">
        <f t="shared" si="26"/>
        <v/>
      </c>
      <c r="AB25" s="116" t="str">
        <f t="shared" si="26"/>
        <v/>
      </c>
      <c r="AC25" s="116" t="str">
        <f t="shared" si="26"/>
        <v/>
      </c>
      <c r="AD25" s="116" t="str">
        <f t="shared" si="26"/>
        <v/>
      </c>
      <c r="AE25" s="116" t="str">
        <f t="shared" si="26"/>
        <v/>
      </c>
      <c r="AF25" s="116" t="str">
        <f t="shared" si="26"/>
        <v/>
      </c>
      <c r="AG25" s="116" t="str">
        <f t="shared" si="26"/>
        <v/>
      </c>
      <c r="AH25" s="116" t="str">
        <f t="shared" si="26"/>
        <v/>
      </c>
      <c r="AI25" s="116" t="str">
        <f t="shared" si="26"/>
        <v/>
      </c>
    </row>
    <row r="26" spans="1:36" ht="18" customHeight="1" x14ac:dyDescent="0.2">
      <c r="AA26" s="139"/>
    </row>
    <row r="27" spans="1:36" ht="18" customHeight="1" x14ac:dyDescent="0.25">
      <c r="B27" s="140" t="s">
        <v>50</v>
      </c>
      <c r="C27" s="224" t="str">
        <f>IF(AND(R17="",R24=""),IF(OR(AND(NOT(AE18=0),NOT(AE18="")),AND(NOT(AI25=0),NOT(AI25=""))),"Please fix errors before using this",""),"Please fix errors before using this")</f>
        <v/>
      </c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6"/>
      <c r="O27" s="121" t="s">
        <v>11</v>
      </c>
      <c r="Z27" s="141"/>
      <c r="AA27" s="141"/>
      <c r="AB27" s="142"/>
      <c r="AC27" s="49"/>
    </row>
    <row r="28" spans="1:36" ht="18" customHeight="1" x14ac:dyDescent="0.25">
      <c r="B28" s="143" t="s">
        <v>16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6"/>
      <c r="O28" s="71"/>
      <c r="T28" s="9" t="s">
        <v>99</v>
      </c>
      <c r="Z28" s="141"/>
      <c r="AA28" s="141"/>
      <c r="AB28" s="142"/>
      <c r="AC28" s="49"/>
    </row>
    <row r="29" spans="1:36" ht="18" customHeight="1" x14ac:dyDescent="0.2">
      <c r="T29" s="223" t="b">
        <v>0</v>
      </c>
      <c r="U29" s="9" t="b">
        <f>IF(T29,FALSE,D17*0.9-F17-$V$8&lt;0)</f>
        <v>0</v>
      </c>
      <c r="V29" s="9" t="b">
        <f>IF(T29,FALSE,D24*0.9-F24-$V$9&lt;0)</f>
        <v>0</v>
      </c>
      <c r="W29" s="9" t="s">
        <v>51</v>
      </c>
      <c r="Z29" s="141"/>
      <c r="AA29" s="141"/>
      <c r="AB29" s="142"/>
      <c r="AC29" s="49"/>
    </row>
    <row r="30" spans="1:36" ht="18" customHeight="1" x14ac:dyDescent="0.25">
      <c r="T30" s="223" t="b">
        <v>0</v>
      </c>
      <c r="U30" s="9" t="b">
        <f>IF(T30,FALSE,AND(COUNTBLANK(A13:A16)=4,E8&gt;0))</f>
        <v>0</v>
      </c>
      <c r="V30" s="9" t="b">
        <f>IF(T30,FALSE,AND(COUNTBLANK(A22:A23)=2,E9&gt;0))</f>
        <v>0</v>
      </c>
      <c r="W30" t="s">
        <v>52</v>
      </c>
      <c r="Z30" s="141"/>
      <c r="AA30" s="49"/>
      <c r="AB30" s="49"/>
      <c r="AC30" s="49"/>
    </row>
    <row r="31" spans="1:36" ht="18" customHeight="1" x14ac:dyDescent="0.25">
      <c r="T31" s="223" t="b">
        <v>0</v>
      </c>
      <c r="U31" s="9" t="b">
        <f>IF(T31,FALSE,AND((D17*X8/100-F17)-V8&lt;0,U32))</f>
        <v>0</v>
      </c>
      <c r="V31" s="9" t="b">
        <f>IF(T31,FALSE,AND((D24*X9/100-F24)-V9&lt;0,V32))</f>
        <v>0</v>
      </c>
      <c r="W31" t="s">
        <v>53</v>
      </c>
      <c r="Z31" s="141"/>
      <c r="AA31" s="142"/>
      <c r="AB31" s="142"/>
      <c r="AC31" s="49"/>
    </row>
    <row r="32" spans="1:36" ht="18" customHeight="1" x14ac:dyDescent="0.25">
      <c r="T32" s="223" t="b">
        <v>0</v>
      </c>
      <c r="U32" s="9" t="b">
        <f>IF(T32,FALSE,($X$8/100&lt;$Y$8))</f>
        <v>0</v>
      </c>
      <c r="V32" s="9" t="b">
        <f>IF(T32,FALSE,($X$9/100&lt;$Y$9))</f>
        <v>0</v>
      </c>
      <c r="W32" t="s">
        <v>54</v>
      </c>
      <c r="Z32" s="141"/>
      <c r="AA32" s="142"/>
      <c r="AB32" s="142"/>
      <c r="AC32" s="49"/>
    </row>
    <row r="33" spans="20:29" ht="18" customHeight="1" x14ac:dyDescent="0.25">
      <c r="T33" s="223" t="b">
        <v>0</v>
      </c>
      <c r="U33" s="9" t="b">
        <f>IF(T33,FALSE,OR(IFERROR(FIND("-",Q13&amp;Q14&amp;Q16)&gt;0,FALSE),Y8&lt;0.7))</f>
        <v>0</v>
      </c>
      <c r="V33" s="9" t="b">
        <f>IF(T33,FALSE,OR(IFERROR(FIND("-",Q22&amp;Q23)&gt;0,FALSE),Y9&lt;0.7))</f>
        <v>0</v>
      </c>
      <c r="W33" t="s">
        <v>55</v>
      </c>
      <c r="Z33" s="141"/>
      <c r="AA33" s="142"/>
      <c r="AB33" s="142"/>
      <c r="AC33" s="49"/>
    </row>
    <row r="34" spans="20:29" ht="18" customHeight="1" x14ac:dyDescent="0.2">
      <c r="U34" s="9" t="b">
        <v>1</v>
      </c>
      <c r="V34" s="9" t="b">
        <v>1</v>
      </c>
      <c r="W34" s="9" t="str">
        <f>""</f>
        <v/>
      </c>
      <c r="Z34" s="141"/>
      <c r="AA34" s="142"/>
      <c r="AB34" s="142"/>
      <c r="AC34" s="49"/>
    </row>
    <row r="35" spans="20:29" ht="18" customHeight="1" x14ac:dyDescent="0.25">
      <c r="Z35" s="141"/>
      <c r="AA35" s="144"/>
      <c r="AB35" s="144"/>
      <c r="AC35" s="49"/>
    </row>
  </sheetData>
  <sheetProtection sheet="1" objects="1" scenarios="1" selectLockedCells="1"/>
  <mergeCells count="25">
    <mergeCell ref="A2:Q2"/>
    <mergeCell ref="A3:Q3"/>
    <mergeCell ref="C4:E4"/>
    <mergeCell ref="N4:O4"/>
    <mergeCell ref="N5:O5"/>
    <mergeCell ref="W6:W7"/>
    <mergeCell ref="Y6:Y7"/>
    <mergeCell ref="M8:N8"/>
    <mergeCell ref="A11:A12"/>
    <mergeCell ref="B11:B12"/>
    <mergeCell ref="C11:C12"/>
    <mergeCell ref="D11:D12"/>
    <mergeCell ref="E11:K11"/>
    <mergeCell ref="L11:O11"/>
    <mergeCell ref="P11:Q11"/>
    <mergeCell ref="N6:O6"/>
    <mergeCell ref="C27:N28"/>
    <mergeCell ref="AI11:AI12"/>
    <mergeCell ref="A20:A21"/>
    <mergeCell ref="B20:B21"/>
    <mergeCell ref="C20:C21"/>
    <mergeCell ref="D20:D21"/>
    <mergeCell ref="E20:K20"/>
    <mergeCell ref="L20:O20"/>
    <mergeCell ref="P20:Q20"/>
  </mergeCells>
  <conditionalFormatting sqref="Q17">
    <cfRule type="expression" dxfId="33" priority="9">
      <formula>IF($E$8=$Q$17,TRUE,FALSE)</formula>
    </cfRule>
  </conditionalFormatting>
  <conditionalFormatting sqref="Q24">
    <cfRule type="expression" dxfId="32" priority="8">
      <formula>IF($E$9=$Q$24,TRUE,FALSE)</formula>
    </cfRule>
  </conditionalFormatting>
  <conditionalFormatting sqref="B13:B16 E13:E16 L13:L16 B22:B23 E22:E23 L22:L23">
    <cfRule type="expression" dxfId="31" priority="7">
      <formula>IF($A13&gt;0,TRUE,FALSE)</formula>
    </cfRule>
  </conditionalFormatting>
  <conditionalFormatting sqref="A13:A16">
    <cfRule type="expression" dxfId="30" priority="2">
      <formula>IF(AND(NOT(ISBLANK($A13)),$R$17="Fill less tanks"),TRUE,FALSE)</formula>
    </cfRule>
    <cfRule type="expression" dxfId="29" priority="4">
      <formula>IF(P13&lt;0,TRUE,FALSE)</formula>
    </cfRule>
    <cfRule type="expression" dxfId="28" priority="6">
      <formula>IF(AND(ISBLANK($A13),$R$17="Fill more tanks"),TRUE,FALSE)</formula>
    </cfRule>
  </conditionalFormatting>
  <conditionalFormatting sqref="B22">
    <cfRule type="expression" dxfId="27" priority="17">
      <formula>IF(#REF!="Consumption",TRUE,FALSE)</formula>
    </cfRule>
  </conditionalFormatting>
  <conditionalFormatting sqref="A22:A23">
    <cfRule type="expression" dxfId="26" priority="21">
      <formula>IF(AND(NOT(ISBLANK($A22)),$R$24="Fill less tanks"),TRUE,FALSE)</formula>
    </cfRule>
    <cfRule type="expression" dxfId="25" priority="22">
      <formula>IF(P22&lt;0,TRUE,FALSE)</formula>
    </cfRule>
    <cfRule type="expression" dxfId="24" priority="23">
      <formula>IF(AND(ISBLANK($A22),$R$24="Fill more tanks"),TRUE,FALSE)</formula>
    </cfRule>
  </conditionalFormatting>
  <dataValidations count="6">
    <dataValidation type="list" allowBlank="1" showInputMessage="1" showErrorMessage="1" sqref="W8:W9">
      <formula1>"Yes,No"</formula1>
    </dataValidation>
    <dataValidation type="list" allowBlank="1" showInputMessage="1" showErrorMessage="1" sqref="R13:R16 R22:R23">
      <formula1>" ,Fill to max"</formula1>
    </dataValidation>
    <dataValidation type="whole" operator="greaterThanOrEqual" allowBlank="1" showInputMessage="1" showErrorMessage="1" error="Only numbers more than 0 and less than 4 are allowed_x000a_" sqref="A13:A16">
      <formula1>1</formula1>
    </dataValidation>
    <dataValidation type="textLength" operator="greaterThan" allowBlank="1" showInputMessage="1" showErrorMessage="1" error="Do not alter the input data" sqref="JI65550:JJ65551 B983059:E983059 B917523:E917523 B851987:E851987 B786451:E786451 B720915:E720915 B655379:E655379 B589843:E589843 B524307:E524307 B458771:E458771 B393235:E393235 B327699:E327699 B262163:E262163 B196627:E196627 B131091:E131091 B65555:E65555 B983054:E983055 B917518:E917519 B851982:E851983 B786446:E786447 B720910:E720911 B655374:E655375 B589838:E589839 B524302:E524303 B458766:E458767 B393230:E393231 B327694:E327695 B262158:E262159 B196622:E196623 B131086:E131087 B65550:E65551 WVU983059:WVV983059 WLY983059:WLZ983059 WCC983059:WCD983059 VSG983059:VSH983059 VIK983059:VIL983059 UYO983059:UYP983059 UOS983059:UOT983059 UEW983059:UEX983059 TVA983059:TVB983059 TLE983059:TLF983059 TBI983059:TBJ983059 SRM983059:SRN983059 SHQ983059:SHR983059 RXU983059:RXV983059 RNY983059:RNZ983059 REC983059:RED983059 QUG983059:QUH983059 QKK983059:QKL983059 QAO983059:QAP983059 PQS983059:PQT983059 PGW983059:PGX983059 OXA983059:OXB983059 ONE983059:ONF983059 ODI983059:ODJ983059 NTM983059:NTN983059 NJQ983059:NJR983059 MZU983059:MZV983059 MPY983059:MPZ983059 MGC983059:MGD983059 LWG983059:LWH983059 LMK983059:LML983059 LCO983059:LCP983059 KSS983059:KST983059 KIW983059:KIX983059 JZA983059:JZB983059 JPE983059:JPF983059 JFI983059:JFJ983059 IVM983059:IVN983059 ILQ983059:ILR983059 IBU983059:IBV983059 HRY983059:HRZ983059 HIC983059:HID983059 GYG983059:GYH983059 GOK983059:GOL983059 GEO983059:GEP983059 FUS983059:FUT983059 FKW983059:FKX983059 FBA983059:FBB983059 ERE983059:ERF983059 EHI983059:EHJ983059 DXM983059:DXN983059 DNQ983059:DNR983059 DDU983059:DDV983059 CTY983059:CTZ983059 CKC983059:CKD983059 CAG983059:CAH983059 BQK983059:BQL983059 BGO983059:BGP983059 AWS983059:AWT983059 AMW983059:AMX983059 ADA983059:ADB983059 TE983059:TF983059 JI983059:JJ983059 WVU917523:WVV917523 WLY917523:WLZ917523 WCC917523:WCD917523 VSG917523:VSH917523 VIK917523:VIL917523 UYO917523:UYP917523 UOS917523:UOT917523 UEW917523:UEX917523 TVA917523:TVB917523 TLE917523:TLF917523 TBI917523:TBJ917523 SRM917523:SRN917523 SHQ917523:SHR917523 RXU917523:RXV917523 RNY917523:RNZ917523 REC917523:RED917523 QUG917523:QUH917523 QKK917523:QKL917523 QAO917523:QAP917523 PQS917523:PQT917523 PGW917523:PGX917523 OXA917523:OXB917523 ONE917523:ONF917523 ODI917523:ODJ917523 NTM917523:NTN917523 NJQ917523:NJR917523 MZU917523:MZV917523 MPY917523:MPZ917523 MGC917523:MGD917523 LWG917523:LWH917523 LMK917523:LML917523 LCO917523:LCP917523 KSS917523:KST917523 KIW917523:KIX917523 JZA917523:JZB917523 JPE917523:JPF917523 JFI917523:JFJ917523 IVM917523:IVN917523 ILQ917523:ILR917523 IBU917523:IBV917523 HRY917523:HRZ917523 HIC917523:HID917523 GYG917523:GYH917523 GOK917523:GOL917523 GEO917523:GEP917523 FUS917523:FUT917523 FKW917523:FKX917523 FBA917523:FBB917523 ERE917523:ERF917523 EHI917523:EHJ917523 DXM917523:DXN917523 DNQ917523:DNR917523 DDU917523:DDV917523 CTY917523:CTZ917523 CKC917523:CKD917523 CAG917523:CAH917523 BQK917523:BQL917523 BGO917523:BGP917523 AWS917523:AWT917523 AMW917523:AMX917523 ADA917523:ADB917523 TE917523:TF917523 JI917523:JJ917523 WVU851987:WVV851987 WLY851987:WLZ851987 WCC851987:WCD851987 VSG851987:VSH851987 VIK851987:VIL851987 UYO851987:UYP851987 UOS851987:UOT851987 UEW851987:UEX851987 TVA851987:TVB851987 TLE851987:TLF851987 TBI851987:TBJ851987 SRM851987:SRN851987 SHQ851987:SHR851987 RXU851987:RXV851987 RNY851987:RNZ851987 REC851987:RED851987 QUG851987:QUH851987 QKK851987:QKL851987 QAO851987:QAP851987 PQS851987:PQT851987 PGW851987:PGX851987 OXA851987:OXB851987 ONE851987:ONF851987 ODI851987:ODJ851987 NTM851987:NTN851987 NJQ851987:NJR851987 MZU851987:MZV851987 MPY851987:MPZ851987 MGC851987:MGD851987 LWG851987:LWH851987 LMK851987:LML851987 LCO851987:LCP851987 KSS851987:KST851987 KIW851987:KIX851987 JZA851987:JZB851987 JPE851987:JPF851987 JFI851987:JFJ851987 IVM851987:IVN851987 ILQ851987:ILR851987 IBU851987:IBV851987 HRY851987:HRZ851987 HIC851987:HID851987 GYG851987:GYH851987 GOK851987:GOL851987 GEO851987:GEP851987 FUS851987:FUT851987 FKW851987:FKX851987 FBA851987:FBB851987 ERE851987:ERF851987 EHI851987:EHJ851987 DXM851987:DXN851987 DNQ851987:DNR851987 DDU851987:DDV851987 CTY851987:CTZ851987 CKC851987:CKD851987 CAG851987:CAH851987 BQK851987:BQL851987 BGO851987:BGP851987 AWS851987:AWT851987 AMW851987:AMX851987 ADA851987:ADB851987 TE851987:TF851987 JI851987:JJ851987 WVU786451:WVV786451 WLY786451:WLZ786451 WCC786451:WCD786451 VSG786451:VSH786451 VIK786451:VIL786451 UYO786451:UYP786451 UOS786451:UOT786451 UEW786451:UEX786451 TVA786451:TVB786451 TLE786451:TLF786451 TBI786451:TBJ786451 SRM786451:SRN786451 SHQ786451:SHR786451 RXU786451:RXV786451 RNY786451:RNZ786451 REC786451:RED786451 QUG786451:QUH786451 QKK786451:QKL786451 QAO786451:QAP786451 PQS786451:PQT786451 PGW786451:PGX786451 OXA786451:OXB786451 ONE786451:ONF786451 ODI786451:ODJ786451 NTM786451:NTN786451 NJQ786451:NJR786451 MZU786451:MZV786451 MPY786451:MPZ786451 MGC786451:MGD786451 LWG786451:LWH786451 LMK786451:LML786451 LCO786451:LCP786451 KSS786451:KST786451 KIW786451:KIX786451 JZA786451:JZB786451 JPE786451:JPF786451 JFI786451:JFJ786451 IVM786451:IVN786451 ILQ786451:ILR786451 IBU786451:IBV786451 HRY786451:HRZ786451 HIC786451:HID786451 GYG786451:GYH786451 GOK786451:GOL786451 GEO786451:GEP786451 FUS786451:FUT786451 FKW786451:FKX786451 FBA786451:FBB786451 ERE786451:ERF786451 EHI786451:EHJ786451 DXM786451:DXN786451 DNQ786451:DNR786451 DDU786451:DDV786451 CTY786451:CTZ786451 CKC786451:CKD786451 CAG786451:CAH786451 BQK786451:BQL786451 BGO786451:BGP786451 AWS786451:AWT786451 AMW786451:AMX786451 ADA786451:ADB786451 TE786451:TF786451 JI786451:JJ786451 WVU720915:WVV720915 WLY720915:WLZ720915 WCC720915:WCD720915 VSG720915:VSH720915 VIK720915:VIL720915 UYO720915:UYP720915 UOS720915:UOT720915 UEW720915:UEX720915 TVA720915:TVB720915 TLE720915:TLF720915 TBI720915:TBJ720915 SRM720915:SRN720915 SHQ720915:SHR720915 RXU720915:RXV720915 RNY720915:RNZ720915 REC720915:RED720915 QUG720915:QUH720915 QKK720915:QKL720915 QAO720915:QAP720915 PQS720915:PQT720915 PGW720915:PGX720915 OXA720915:OXB720915 ONE720915:ONF720915 ODI720915:ODJ720915 NTM720915:NTN720915 NJQ720915:NJR720915 MZU720915:MZV720915 MPY720915:MPZ720915 MGC720915:MGD720915 LWG720915:LWH720915 LMK720915:LML720915 LCO720915:LCP720915 KSS720915:KST720915 KIW720915:KIX720915 JZA720915:JZB720915 JPE720915:JPF720915 JFI720915:JFJ720915 IVM720915:IVN720915 ILQ720915:ILR720915 IBU720915:IBV720915 HRY720915:HRZ720915 HIC720915:HID720915 GYG720915:GYH720915 GOK720915:GOL720915 GEO720915:GEP720915 FUS720915:FUT720915 FKW720915:FKX720915 FBA720915:FBB720915 ERE720915:ERF720915 EHI720915:EHJ720915 DXM720915:DXN720915 DNQ720915:DNR720915 DDU720915:DDV720915 CTY720915:CTZ720915 CKC720915:CKD720915 CAG720915:CAH720915 BQK720915:BQL720915 BGO720915:BGP720915 AWS720915:AWT720915 AMW720915:AMX720915 ADA720915:ADB720915 TE720915:TF720915 JI720915:JJ720915 WVU655379:WVV655379 WLY655379:WLZ655379 WCC655379:WCD655379 VSG655379:VSH655379 VIK655379:VIL655379 UYO655379:UYP655379 UOS655379:UOT655379 UEW655379:UEX655379 TVA655379:TVB655379 TLE655379:TLF655379 TBI655379:TBJ655379 SRM655379:SRN655379 SHQ655379:SHR655379 RXU655379:RXV655379 RNY655379:RNZ655379 REC655379:RED655379 QUG655379:QUH655379 QKK655379:QKL655379 QAO655379:QAP655379 PQS655379:PQT655379 PGW655379:PGX655379 OXA655379:OXB655379 ONE655379:ONF655379 ODI655379:ODJ655379 NTM655379:NTN655379 NJQ655379:NJR655379 MZU655379:MZV655379 MPY655379:MPZ655379 MGC655379:MGD655379 LWG655379:LWH655379 LMK655379:LML655379 LCO655379:LCP655379 KSS655379:KST655379 KIW655379:KIX655379 JZA655379:JZB655379 JPE655379:JPF655379 JFI655379:JFJ655379 IVM655379:IVN655379 ILQ655379:ILR655379 IBU655379:IBV655379 HRY655379:HRZ655379 HIC655379:HID655379 GYG655379:GYH655379 GOK655379:GOL655379 GEO655379:GEP655379 FUS655379:FUT655379 FKW655379:FKX655379 FBA655379:FBB655379 ERE655379:ERF655379 EHI655379:EHJ655379 DXM655379:DXN655379 DNQ655379:DNR655379 DDU655379:DDV655379 CTY655379:CTZ655379 CKC655379:CKD655379 CAG655379:CAH655379 BQK655379:BQL655379 BGO655379:BGP655379 AWS655379:AWT655379 AMW655379:AMX655379 ADA655379:ADB655379 TE655379:TF655379 JI655379:JJ655379 WVU589843:WVV589843 WLY589843:WLZ589843 WCC589843:WCD589843 VSG589843:VSH589843 VIK589843:VIL589843 UYO589843:UYP589843 UOS589843:UOT589843 UEW589843:UEX589843 TVA589843:TVB589843 TLE589843:TLF589843 TBI589843:TBJ589843 SRM589843:SRN589843 SHQ589843:SHR589843 RXU589843:RXV589843 RNY589843:RNZ589843 REC589843:RED589843 QUG589843:QUH589843 QKK589843:QKL589843 QAO589843:QAP589843 PQS589843:PQT589843 PGW589843:PGX589843 OXA589843:OXB589843 ONE589843:ONF589843 ODI589843:ODJ589843 NTM589843:NTN589843 NJQ589843:NJR589843 MZU589843:MZV589843 MPY589843:MPZ589843 MGC589843:MGD589843 LWG589843:LWH589843 LMK589843:LML589843 LCO589843:LCP589843 KSS589843:KST589843 KIW589843:KIX589843 JZA589843:JZB589843 JPE589843:JPF589843 JFI589843:JFJ589843 IVM589843:IVN589843 ILQ589843:ILR589843 IBU589843:IBV589843 HRY589843:HRZ589843 HIC589843:HID589843 GYG589843:GYH589843 GOK589843:GOL589843 GEO589843:GEP589843 FUS589843:FUT589843 FKW589843:FKX589843 FBA589843:FBB589843 ERE589843:ERF589843 EHI589843:EHJ589843 DXM589843:DXN589843 DNQ589843:DNR589843 DDU589843:DDV589843 CTY589843:CTZ589843 CKC589843:CKD589843 CAG589843:CAH589843 BQK589843:BQL589843 BGO589843:BGP589843 AWS589843:AWT589843 AMW589843:AMX589843 ADA589843:ADB589843 TE589843:TF589843 JI589843:JJ589843 WVU524307:WVV524307 WLY524307:WLZ524307 WCC524307:WCD524307 VSG524307:VSH524307 VIK524307:VIL524307 UYO524307:UYP524307 UOS524307:UOT524307 UEW524307:UEX524307 TVA524307:TVB524307 TLE524307:TLF524307 TBI524307:TBJ524307 SRM524307:SRN524307 SHQ524307:SHR524307 RXU524307:RXV524307 RNY524307:RNZ524307 REC524307:RED524307 QUG524307:QUH524307 QKK524307:QKL524307 QAO524307:QAP524307 PQS524307:PQT524307 PGW524307:PGX524307 OXA524307:OXB524307 ONE524307:ONF524307 ODI524307:ODJ524307 NTM524307:NTN524307 NJQ524307:NJR524307 MZU524307:MZV524307 MPY524307:MPZ524307 MGC524307:MGD524307 LWG524307:LWH524307 LMK524307:LML524307 LCO524307:LCP524307 KSS524307:KST524307 KIW524307:KIX524307 JZA524307:JZB524307 JPE524307:JPF524307 JFI524307:JFJ524307 IVM524307:IVN524307 ILQ524307:ILR524307 IBU524307:IBV524307 HRY524307:HRZ524307 HIC524307:HID524307 GYG524307:GYH524307 GOK524307:GOL524307 GEO524307:GEP524307 FUS524307:FUT524307 FKW524307:FKX524307 FBA524307:FBB524307 ERE524307:ERF524307 EHI524307:EHJ524307 DXM524307:DXN524307 DNQ524307:DNR524307 DDU524307:DDV524307 CTY524307:CTZ524307 CKC524307:CKD524307 CAG524307:CAH524307 BQK524307:BQL524307 BGO524307:BGP524307 AWS524307:AWT524307 AMW524307:AMX524307 ADA524307:ADB524307 TE524307:TF524307 JI524307:JJ524307 WVU458771:WVV458771 WLY458771:WLZ458771 WCC458771:WCD458771 VSG458771:VSH458771 VIK458771:VIL458771 UYO458771:UYP458771 UOS458771:UOT458771 UEW458771:UEX458771 TVA458771:TVB458771 TLE458771:TLF458771 TBI458771:TBJ458771 SRM458771:SRN458771 SHQ458771:SHR458771 RXU458771:RXV458771 RNY458771:RNZ458771 REC458771:RED458771 QUG458771:QUH458771 QKK458771:QKL458771 QAO458771:QAP458771 PQS458771:PQT458771 PGW458771:PGX458771 OXA458771:OXB458771 ONE458771:ONF458771 ODI458771:ODJ458771 NTM458771:NTN458771 NJQ458771:NJR458771 MZU458771:MZV458771 MPY458771:MPZ458771 MGC458771:MGD458771 LWG458771:LWH458771 LMK458771:LML458771 LCO458771:LCP458771 KSS458771:KST458771 KIW458771:KIX458771 JZA458771:JZB458771 JPE458771:JPF458771 JFI458771:JFJ458771 IVM458771:IVN458771 ILQ458771:ILR458771 IBU458771:IBV458771 HRY458771:HRZ458771 HIC458771:HID458771 GYG458771:GYH458771 GOK458771:GOL458771 GEO458771:GEP458771 FUS458771:FUT458771 FKW458771:FKX458771 FBA458771:FBB458771 ERE458771:ERF458771 EHI458771:EHJ458771 DXM458771:DXN458771 DNQ458771:DNR458771 DDU458771:DDV458771 CTY458771:CTZ458771 CKC458771:CKD458771 CAG458771:CAH458771 BQK458771:BQL458771 BGO458771:BGP458771 AWS458771:AWT458771 AMW458771:AMX458771 ADA458771:ADB458771 TE458771:TF458771 JI458771:JJ458771 WVU393235:WVV393235 WLY393235:WLZ393235 WCC393235:WCD393235 VSG393235:VSH393235 VIK393235:VIL393235 UYO393235:UYP393235 UOS393235:UOT393235 UEW393235:UEX393235 TVA393235:TVB393235 TLE393235:TLF393235 TBI393235:TBJ393235 SRM393235:SRN393235 SHQ393235:SHR393235 RXU393235:RXV393235 RNY393235:RNZ393235 REC393235:RED393235 QUG393235:QUH393235 QKK393235:QKL393235 QAO393235:QAP393235 PQS393235:PQT393235 PGW393235:PGX393235 OXA393235:OXB393235 ONE393235:ONF393235 ODI393235:ODJ393235 NTM393235:NTN393235 NJQ393235:NJR393235 MZU393235:MZV393235 MPY393235:MPZ393235 MGC393235:MGD393235 LWG393235:LWH393235 LMK393235:LML393235 LCO393235:LCP393235 KSS393235:KST393235 KIW393235:KIX393235 JZA393235:JZB393235 JPE393235:JPF393235 JFI393235:JFJ393235 IVM393235:IVN393235 ILQ393235:ILR393235 IBU393235:IBV393235 HRY393235:HRZ393235 HIC393235:HID393235 GYG393235:GYH393235 GOK393235:GOL393235 GEO393235:GEP393235 FUS393235:FUT393235 FKW393235:FKX393235 FBA393235:FBB393235 ERE393235:ERF393235 EHI393235:EHJ393235 DXM393235:DXN393235 DNQ393235:DNR393235 DDU393235:DDV393235 CTY393235:CTZ393235 CKC393235:CKD393235 CAG393235:CAH393235 BQK393235:BQL393235 BGO393235:BGP393235 AWS393235:AWT393235 AMW393235:AMX393235 ADA393235:ADB393235 TE393235:TF393235 JI393235:JJ393235 WVU327699:WVV327699 WLY327699:WLZ327699 WCC327699:WCD327699 VSG327699:VSH327699 VIK327699:VIL327699 UYO327699:UYP327699 UOS327699:UOT327699 UEW327699:UEX327699 TVA327699:TVB327699 TLE327699:TLF327699 TBI327699:TBJ327699 SRM327699:SRN327699 SHQ327699:SHR327699 RXU327699:RXV327699 RNY327699:RNZ327699 REC327699:RED327699 QUG327699:QUH327699 QKK327699:QKL327699 QAO327699:QAP327699 PQS327699:PQT327699 PGW327699:PGX327699 OXA327699:OXB327699 ONE327699:ONF327699 ODI327699:ODJ327699 NTM327699:NTN327699 NJQ327699:NJR327699 MZU327699:MZV327699 MPY327699:MPZ327699 MGC327699:MGD327699 LWG327699:LWH327699 LMK327699:LML327699 LCO327699:LCP327699 KSS327699:KST327699 KIW327699:KIX327699 JZA327699:JZB327699 JPE327699:JPF327699 JFI327699:JFJ327699 IVM327699:IVN327699 ILQ327699:ILR327699 IBU327699:IBV327699 HRY327699:HRZ327699 HIC327699:HID327699 GYG327699:GYH327699 GOK327699:GOL327699 GEO327699:GEP327699 FUS327699:FUT327699 FKW327699:FKX327699 FBA327699:FBB327699 ERE327699:ERF327699 EHI327699:EHJ327699 DXM327699:DXN327699 DNQ327699:DNR327699 DDU327699:DDV327699 CTY327699:CTZ327699 CKC327699:CKD327699 CAG327699:CAH327699 BQK327699:BQL327699 BGO327699:BGP327699 AWS327699:AWT327699 AMW327699:AMX327699 ADA327699:ADB327699 TE327699:TF327699 JI327699:JJ327699 WVU262163:WVV262163 WLY262163:WLZ262163 WCC262163:WCD262163 VSG262163:VSH262163 VIK262163:VIL262163 UYO262163:UYP262163 UOS262163:UOT262163 UEW262163:UEX262163 TVA262163:TVB262163 TLE262163:TLF262163 TBI262163:TBJ262163 SRM262163:SRN262163 SHQ262163:SHR262163 RXU262163:RXV262163 RNY262163:RNZ262163 REC262163:RED262163 QUG262163:QUH262163 QKK262163:QKL262163 QAO262163:QAP262163 PQS262163:PQT262163 PGW262163:PGX262163 OXA262163:OXB262163 ONE262163:ONF262163 ODI262163:ODJ262163 NTM262163:NTN262163 NJQ262163:NJR262163 MZU262163:MZV262163 MPY262163:MPZ262163 MGC262163:MGD262163 LWG262163:LWH262163 LMK262163:LML262163 LCO262163:LCP262163 KSS262163:KST262163 KIW262163:KIX262163 JZA262163:JZB262163 JPE262163:JPF262163 JFI262163:JFJ262163 IVM262163:IVN262163 ILQ262163:ILR262163 IBU262163:IBV262163 HRY262163:HRZ262163 HIC262163:HID262163 GYG262163:GYH262163 GOK262163:GOL262163 GEO262163:GEP262163 FUS262163:FUT262163 FKW262163:FKX262163 FBA262163:FBB262163 ERE262163:ERF262163 EHI262163:EHJ262163 DXM262163:DXN262163 DNQ262163:DNR262163 DDU262163:DDV262163 CTY262163:CTZ262163 CKC262163:CKD262163 CAG262163:CAH262163 BQK262163:BQL262163 BGO262163:BGP262163 AWS262163:AWT262163 AMW262163:AMX262163 ADA262163:ADB262163 TE262163:TF262163 JI262163:JJ262163 WVU196627:WVV196627 WLY196627:WLZ196627 WCC196627:WCD196627 VSG196627:VSH196627 VIK196627:VIL196627 UYO196627:UYP196627 UOS196627:UOT196627 UEW196627:UEX196627 TVA196627:TVB196627 TLE196627:TLF196627 TBI196627:TBJ196627 SRM196627:SRN196627 SHQ196627:SHR196627 RXU196627:RXV196627 RNY196627:RNZ196627 REC196627:RED196627 QUG196627:QUH196627 QKK196627:QKL196627 QAO196627:QAP196627 PQS196627:PQT196627 PGW196627:PGX196627 OXA196627:OXB196627 ONE196627:ONF196627 ODI196627:ODJ196627 NTM196627:NTN196627 NJQ196627:NJR196627 MZU196627:MZV196627 MPY196627:MPZ196627 MGC196627:MGD196627 LWG196627:LWH196627 LMK196627:LML196627 LCO196627:LCP196627 KSS196627:KST196627 KIW196627:KIX196627 JZA196627:JZB196627 JPE196627:JPF196627 JFI196627:JFJ196627 IVM196627:IVN196627 ILQ196627:ILR196627 IBU196627:IBV196627 HRY196627:HRZ196627 HIC196627:HID196627 GYG196627:GYH196627 GOK196627:GOL196627 GEO196627:GEP196627 FUS196627:FUT196627 FKW196627:FKX196627 FBA196627:FBB196627 ERE196627:ERF196627 EHI196627:EHJ196627 DXM196627:DXN196627 DNQ196627:DNR196627 DDU196627:DDV196627 CTY196627:CTZ196627 CKC196627:CKD196627 CAG196627:CAH196627 BQK196627:BQL196627 BGO196627:BGP196627 AWS196627:AWT196627 AMW196627:AMX196627 ADA196627:ADB196627 TE196627:TF196627 JI196627:JJ196627 WVU131091:WVV131091 WLY131091:WLZ131091 WCC131091:WCD131091 VSG131091:VSH131091 VIK131091:VIL131091 UYO131091:UYP131091 UOS131091:UOT131091 UEW131091:UEX131091 TVA131091:TVB131091 TLE131091:TLF131091 TBI131091:TBJ131091 SRM131091:SRN131091 SHQ131091:SHR131091 RXU131091:RXV131091 RNY131091:RNZ131091 REC131091:RED131091 QUG131091:QUH131091 QKK131091:QKL131091 QAO131091:QAP131091 PQS131091:PQT131091 PGW131091:PGX131091 OXA131091:OXB131091 ONE131091:ONF131091 ODI131091:ODJ131091 NTM131091:NTN131091 NJQ131091:NJR131091 MZU131091:MZV131091 MPY131091:MPZ131091 MGC131091:MGD131091 LWG131091:LWH131091 LMK131091:LML131091 LCO131091:LCP131091 KSS131091:KST131091 KIW131091:KIX131091 JZA131091:JZB131091 JPE131091:JPF131091 JFI131091:JFJ131091 IVM131091:IVN131091 ILQ131091:ILR131091 IBU131091:IBV131091 HRY131091:HRZ131091 HIC131091:HID131091 GYG131091:GYH131091 GOK131091:GOL131091 GEO131091:GEP131091 FUS131091:FUT131091 FKW131091:FKX131091 FBA131091:FBB131091 ERE131091:ERF131091 EHI131091:EHJ131091 DXM131091:DXN131091 DNQ131091:DNR131091 DDU131091:DDV131091 CTY131091:CTZ131091 CKC131091:CKD131091 CAG131091:CAH131091 BQK131091:BQL131091 BGO131091:BGP131091 AWS131091:AWT131091 AMW131091:AMX131091 ADA131091:ADB131091 TE131091:TF131091 JI131091:JJ131091 WVU65555:WVV65555 WLY65555:WLZ65555 WCC65555:WCD65555 VSG65555:VSH65555 VIK65555:VIL65555 UYO65555:UYP65555 UOS65555:UOT65555 UEW65555:UEX65555 TVA65555:TVB65555 TLE65555:TLF65555 TBI65555:TBJ65555 SRM65555:SRN65555 SHQ65555:SHR65555 RXU65555:RXV65555 RNY65555:RNZ65555 REC65555:RED65555 QUG65555:QUH65555 QKK65555:QKL65555 QAO65555:QAP65555 PQS65555:PQT65555 PGW65555:PGX65555 OXA65555:OXB65555 ONE65555:ONF65555 ODI65555:ODJ65555 NTM65555:NTN65555 NJQ65555:NJR65555 MZU65555:MZV65555 MPY65555:MPZ65555 MGC65555:MGD65555 LWG65555:LWH65555 LMK65555:LML65555 LCO65555:LCP65555 KSS65555:KST65555 KIW65555:KIX65555 JZA65555:JZB65555 JPE65555:JPF65555 JFI65555:JFJ65555 IVM65555:IVN65555 ILQ65555:ILR65555 IBU65555:IBV65555 HRY65555:HRZ65555 HIC65555:HID65555 GYG65555:GYH65555 GOK65555:GOL65555 GEO65555:GEP65555 FUS65555:FUT65555 FKW65555:FKX65555 FBA65555:FBB65555 ERE65555:ERF65555 EHI65555:EHJ65555 DXM65555:DXN65555 DNQ65555:DNR65555 DDU65555:DDV65555 CTY65555:CTZ65555 CKC65555:CKD65555 CAG65555:CAH65555 BQK65555:BQL65555 BGO65555:BGP65555 AWS65555:AWT65555 AMW65555:AMX65555 ADA65555:ADB65555 TE65555:TF65555 JI65555:JJ65555 WVU983054:WVV983055 WLY983054:WLZ983055 WCC983054:WCD983055 VSG983054:VSH983055 VIK983054:VIL983055 UYO983054:UYP983055 UOS983054:UOT983055 UEW983054:UEX983055 TVA983054:TVB983055 TLE983054:TLF983055 TBI983054:TBJ983055 SRM983054:SRN983055 SHQ983054:SHR983055 RXU983054:RXV983055 RNY983054:RNZ983055 REC983054:RED983055 QUG983054:QUH983055 QKK983054:QKL983055 QAO983054:QAP983055 PQS983054:PQT983055 PGW983054:PGX983055 OXA983054:OXB983055 ONE983054:ONF983055 ODI983054:ODJ983055 NTM983054:NTN983055 NJQ983054:NJR983055 MZU983054:MZV983055 MPY983054:MPZ983055 MGC983054:MGD983055 LWG983054:LWH983055 LMK983054:LML983055 LCO983054:LCP983055 KSS983054:KST983055 KIW983054:KIX983055 JZA983054:JZB983055 JPE983054:JPF983055 JFI983054:JFJ983055 IVM983054:IVN983055 ILQ983054:ILR983055 IBU983054:IBV983055 HRY983054:HRZ983055 HIC983054:HID983055 GYG983054:GYH983055 GOK983054:GOL983055 GEO983054:GEP983055 FUS983054:FUT983055 FKW983054:FKX983055 FBA983054:FBB983055 ERE983054:ERF983055 EHI983054:EHJ983055 DXM983054:DXN983055 DNQ983054:DNR983055 DDU983054:DDV983055 CTY983054:CTZ983055 CKC983054:CKD983055 CAG983054:CAH983055 BQK983054:BQL983055 BGO983054:BGP983055 AWS983054:AWT983055 AMW983054:AMX983055 ADA983054:ADB983055 TE983054:TF983055 JI983054:JJ983055 WVU917518:WVV917519 WLY917518:WLZ917519 WCC917518:WCD917519 VSG917518:VSH917519 VIK917518:VIL917519 UYO917518:UYP917519 UOS917518:UOT917519 UEW917518:UEX917519 TVA917518:TVB917519 TLE917518:TLF917519 TBI917518:TBJ917519 SRM917518:SRN917519 SHQ917518:SHR917519 RXU917518:RXV917519 RNY917518:RNZ917519 REC917518:RED917519 QUG917518:QUH917519 QKK917518:QKL917519 QAO917518:QAP917519 PQS917518:PQT917519 PGW917518:PGX917519 OXA917518:OXB917519 ONE917518:ONF917519 ODI917518:ODJ917519 NTM917518:NTN917519 NJQ917518:NJR917519 MZU917518:MZV917519 MPY917518:MPZ917519 MGC917518:MGD917519 LWG917518:LWH917519 LMK917518:LML917519 LCO917518:LCP917519 KSS917518:KST917519 KIW917518:KIX917519 JZA917518:JZB917519 JPE917518:JPF917519 JFI917518:JFJ917519 IVM917518:IVN917519 ILQ917518:ILR917519 IBU917518:IBV917519 HRY917518:HRZ917519 HIC917518:HID917519 GYG917518:GYH917519 GOK917518:GOL917519 GEO917518:GEP917519 FUS917518:FUT917519 FKW917518:FKX917519 FBA917518:FBB917519 ERE917518:ERF917519 EHI917518:EHJ917519 DXM917518:DXN917519 DNQ917518:DNR917519 DDU917518:DDV917519 CTY917518:CTZ917519 CKC917518:CKD917519 CAG917518:CAH917519 BQK917518:BQL917519 BGO917518:BGP917519 AWS917518:AWT917519 AMW917518:AMX917519 ADA917518:ADB917519 TE917518:TF917519 JI917518:JJ917519 WVU851982:WVV851983 WLY851982:WLZ851983 WCC851982:WCD851983 VSG851982:VSH851983 VIK851982:VIL851983 UYO851982:UYP851983 UOS851982:UOT851983 UEW851982:UEX851983 TVA851982:TVB851983 TLE851982:TLF851983 TBI851982:TBJ851983 SRM851982:SRN851983 SHQ851982:SHR851983 RXU851982:RXV851983 RNY851982:RNZ851983 REC851982:RED851983 QUG851982:QUH851983 QKK851982:QKL851983 QAO851982:QAP851983 PQS851982:PQT851983 PGW851982:PGX851983 OXA851982:OXB851983 ONE851982:ONF851983 ODI851982:ODJ851983 NTM851982:NTN851983 NJQ851982:NJR851983 MZU851982:MZV851983 MPY851982:MPZ851983 MGC851982:MGD851983 LWG851982:LWH851983 LMK851982:LML851983 LCO851982:LCP851983 KSS851982:KST851983 KIW851982:KIX851983 JZA851982:JZB851983 JPE851982:JPF851983 JFI851982:JFJ851983 IVM851982:IVN851983 ILQ851982:ILR851983 IBU851982:IBV851983 HRY851982:HRZ851983 HIC851982:HID851983 GYG851982:GYH851983 GOK851982:GOL851983 GEO851982:GEP851983 FUS851982:FUT851983 FKW851982:FKX851983 FBA851982:FBB851983 ERE851982:ERF851983 EHI851982:EHJ851983 DXM851982:DXN851983 DNQ851982:DNR851983 DDU851982:DDV851983 CTY851982:CTZ851983 CKC851982:CKD851983 CAG851982:CAH851983 BQK851982:BQL851983 BGO851982:BGP851983 AWS851982:AWT851983 AMW851982:AMX851983 ADA851982:ADB851983 TE851982:TF851983 JI851982:JJ851983 WVU786446:WVV786447 WLY786446:WLZ786447 WCC786446:WCD786447 VSG786446:VSH786447 VIK786446:VIL786447 UYO786446:UYP786447 UOS786446:UOT786447 UEW786446:UEX786447 TVA786446:TVB786447 TLE786446:TLF786447 TBI786446:TBJ786447 SRM786446:SRN786447 SHQ786446:SHR786447 RXU786446:RXV786447 RNY786446:RNZ786447 REC786446:RED786447 QUG786446:QUH786447 QKK786446:QKL786447 QAO786446:QAP786447 PQS786446:PQT786447 PGW786446:PGX786447 OXA786446:OXB786447 ONE786446:ONF786447 ODI786446:ODJ786447 NTM786446:NTN786447 NJQ786446:NJR786447 MZU786446:MZV786447 MPY786446:MPZ786447 MGC786446:MGD786447 LWG786446:LWH786447 LMK786446:LML786447 LCO786446:LCP786447 KSS786446:KST786447 KIW786446:KIX786447 JZA786446:JZB786447 JPE786446:JPF786447 JFI786446:JFJ786447 IVM786446:IVN786447 ILQ786446:ILR786447 IBU786446:IBV786447 HRY786446:HRZ786447 HIC786446:HID786447 GYG786446:GYH786447 GOK786446:GOL786447 GEO786446:GEP786447 FUS786446:FUT786447 FKW786446:FKX786447 FBA786446:FBB786447 ERE786446:ERF786447 EHI786446:EHJ786447 DXM786446:DXN786447 DNQ786446:DNR786447 DDU786446:DDV786447 CTY786446:CTZ786447 CKC786446:CKD786447 CAG786446:CAH786447 BQK786446:BQL786447 BGO786446:BGP786447 AWS786446:AWT786447 AMW786446:AMX786447 ADA786446:ADB786447 TE786446:TF786447 JI786446:JJ786447 WVU720910:WVV720911 WLY720910:WLZ720911 WCC720910:WCD720911 VSG720910:VSH720911 VIK720910:VIL720911 UYO720910:UYP720911 UOS720910:UOT720911 UEW720910:UEX720911 TVA720910:TVB720911 TLE720910:TLF720911 TBI720910:TBJ720911 SRM720910:SRN720911 SHQ720910:SHR720911 RXU720910:RXV720911 RNY720910:RNZ720911 REC720910:RED720911 QUG720910:QUH720911 QKK720910:QKL720911 QAO720910:QAP720911 PQS720910:PQT720911 PGW720910:PGX720911 OXA720910:OXB720911 ONE720910:ONF720911 ODI720910:ODJ720911 NTM720910:NTN720911 NJQ720910:NJR720911 MZU720910:MZV720911 MPY720910:MPZ720911 MGC720910:MGD720911 LWG720910:LWH720911 LMK720910:LML720911 LCO720910:LCP720911 KSS720910:KST720911 KIW720910:KIX720911 JZA720910:JZB720911 JPE720910:JPF720911 JFI720910:JFJ720911 IVM720910:IVN720911 ILQ720910:ILR720911 IBU720910:IBV720911 HRY720910:HRZ720911 HIC720910:HID720911 GYG720910:GYH720911 GOK720910:GOL720911 GEO720910:GEP720911 FUS720910:FUT720911 FKW720910:FKX720911 FBA720910:FBB720911 ERE720910:ERF720911 EHI720910:EHJ720911 DXM720910:DXN720911 DNQ720910:DNR720911 DDU720910:DDV720911 CTY720910:CTZ720911 CKC720910:CKD720911 CAG720910:CAH720911 BQK720910:BQL720911 BGO720910:BGP720911 AWS720910:AWT720911 AMW720910:AMX720911 ADA720910:ADB720911 TE720910:TF720911 JI720910:JJ720911 WVU655374:WVV655375 WLY655374:WLZ655375 WCC655374:WCD655375 VSG655374:VSH655375 VIK655374:VIL655375 UYO655374:UYP655375 UOS655374:UOT655375 UEW655374:UEX655375 TVA655374:TVB655375 TLE655374:TLF655375 TBI655374:TBJ655375 SRM655374:SRN655375 SHQ655374:SHR655375 RXU655374:RXV655375 RNY655374:RNZ655375 REC655374:RED655375 QUG655374:QUH655375 QKK655374:QKL655375 QAO655374:QAP655375 PQS655374:PQT655375 PGW655374:PGX655375 OXA655374:OXB655375 ONE655374:ONF655375 ODI655374:ODJ655375 NTM655374:NTN655375 NJQ655374:NJR655375 MZU655374:MZV655375 MPY655374:MPZ655375 MGC655374:MGD655375 LWG655374:LWH655375 LMK655374:LML655375 LCO655374:LCP655375 KSS655374:KST655375 KIW655374:KIX655375 JZA655374:JZB655375 JPE655374:JPF655375 JFI655374:JFJ655375 IVM655374:IVN655375 ILQ655374:ILR655375 IBU655374:IBV655375 HRY655374:HRZ655375 HIC655374:HID655375 GYG655374:GYH655375 GOK655374:GOL655375 GEO655374:GEP655375 FUS655374:FUT655375 FKW655374:FKX655375 FBA655374:FBB655375 ERE655374:ERF655375 EHI655374:EHJ655375 DXM655374:DXN655375 DNQ655374:DNR655375 DDU655374:DDV655375 CTY655374:CTZ655375 CKC655374:CKD655375 CAG655374:CAH655375 BQK655374:BQL655375 BGO655374:BGP655375 AWS655374:AWT655375 AMW655374:AMX655375 ADA655374:ADB655375 TE655374:TF655375 JI655374:JJ655375 WVU589838:WVV589839 WLY589838:WLZ589839 WCC589838:WCD589839 VSG589838:VSH589839 VIK589838:VIL589839 UYO589838:UYP589839 UOS589838:UOT589839 UEW589838:UEX589839 TVA589838:TVB589839 TLE589838:TLF589839 TBI589838:TBJ589839 SRM589838:SRN589839 SHQ589838:SHR589839 RXU589838:RXV589839 RNY589838:RNZ589839 REC589838:RED589839 QUG589838:QUH589839 QKK589838:QKL589839 QAO589838:QAP589839 PQS589838:PQT589839 PGW589838:PGX589839 OXA589838:OXB589839 ONE589838:ONF589839 ODI589838:ODJ589839 NTM589838:NTN589839 NJQ589838:NJR589839 MZU589838:MZV589839 MPY589838:MPZ589839 MGC589838:MGD589839 LWG589838:LWH589839 LMK589838:LML589839 LCO589838:LCP589839 KSS589838:KST589839 KIW589838:KIX589839 JZA589838:JZB589839 JPE589838:JPF589839 JFI589838:JFJ589839 IVM589838:IVN589839 ILQ589838:ILR589839 IBU589838:IBV589839 HRY589838:HRZ589839 HIC589838:HID589839 GYG589838:GYH589839 GOK589838:GOL589839 GEO589838:GEP589839 FUS589838:FUT589839 FKW589838:FKX589839 FBA589838:FBB589839 ERE589838:ERF589839 EHI589838:EHJ589839 DXM589838:DXN589839 DNQ589838:DNR589839 DDU589838:DDV589839 CTY589838:CTZ589839 CKC589838:CKD589839 CAG589838:CAH589839 BQK589838:BQL589839 BGO589838:BGP589839 AWS589838:AWT589839 AMW589838:AMX589839 ADA589838:ADB589839 TE589838:TF589839 JI589838:JJ589839 WVU524302:WVV524303 WLY524302:WLZ524303 WCC524302:WCD524303 VSG524302:VSH524303 VIK524302:VIL524303 UYO524302:UYP524303 UOS524302:UOT524303 UEW524302:UEX524303 TVA524302:TVB524303 TLE524302:TLF524303 TBI524302:TBJ524303 SRM524302:SRN524303 SHQ524302:SHR524303 RXU524302:RXV524303 RNY524302:RNZ524303 REC524302:RED524303 QUG524302:QUH524303 QKK524302:QKL524303 QAO524302:QAP524303 PQS524302:PQT524303 PGW524302:PGX524303 OXA524302:OXB524303 ONE524302:ONF524303 ODI524302:ODJ524303 NTM524302:NTN524303 NJQ524302:NJR524303 MZU524302:MZV524303 MPY524302:MPZ524303 MGC524302:MGD524303 LWG524302:LWH524303 LMK524302:LML524303 LCO524302:LCP524303 KSS524302:KST524303 KIW524302:KIX524303 JZA524302:JZB524303 JPE524302:JPF524303 JFI524302:JFJ524303 IVM524302:IVN524303 ILQ524302:ILR524303 IBU524302:IBV524303 HRY524302:HRZ524303 HIC524302:HID524303 GYG524302:GYH524303 GOK524302:GOL524303 GEO524302:GEP524303 FUS524302:FUT524303 FKW524302:FKX524303 FBA524302:FBB524303 ERE524302:ERF524303 EHI524302:EHJ524303 DXM524302:DXN524303 DNQ524302:DNR524303 DDU524302:DDV524303 CTY524302:CTZ524303 CKC524302:CKD524303 CAG524302:CAH524303 BQK524302:BQL524303 BGO524302:BGP524303 AWS524302:AWT524303 AMW524302:AMX524303 ADA524302:ADB524303 TE524302:TF524303 JI524302:JJ524303 WVU458766:WVV458767 WLY458766:WLZ458767 WCC458766:WCD458767 VSG458766:VSH458767 VIK458766:VIL458767 UYO458766:UYP458767 UOS458766:UOT458767 UEW458766:UEX458767 TVA458766:TVB458767 TLE458766:TLF458767 TBI458766:TBJ458767 SRM458766:SRN458767 SHQ458766:SHR458767 RXU458766:RXV458767 RNY458766:RNZ458767 REC458766:RED458767 QUG458766:QUH458767 QKK458766:QKL458767 QAO458766:QAP458767 PQS458766:PQT458767 PGW458766:PGX458767 OXA458766:OXB458767 ONE458766:ONF458767 ODI458766:ODJ458767 NTM458766:NTN458767 NJQ458766:NJR458767 MZU458766:MZV458767 MPY458766:MPZ458767 MGC458766:MGD458767 LWG458766:LWH458767 LMK458766:LML458767 LCO458766:LCP458767 KSS458766:KST458767 KIW458766:KIX458767 JZA458766:JZB458767 JPE458766:JPF458767 JFI458766:JFJ458767 IVM458766:IVN458767 ILQ458766:ILR458767 IBU458766:IBV458767 HRY458766:HRZ458767 HIC458766:HID458767 GYG458766:GYH458767 GOK458766:GOL458767 GEO458766:GEP458767 FUS458766:FUT458767 FKW458766:FKX458767 FBA458766:FBB458767 ERE458766:ERF458767 EHI458766:EHJ458767 DXM458766:DXN458767 DNQ458766:DNR458767 DDU458766:DDV458767 CTY458766:CTZ458767 CKC458766:CKD458767 CAG458766:CAH458767 BQK458766:BQL458767 BGO458766:BGP458767 AWS458766:AWT458767 AMW458766:AMX458767 ADA458766:ADB458767 TE458766:TF458767 JI458766:JJ458767 WVU393230:WVV393231 WLY393230:WLZ393231 WCC393230:WCD393231 VSG393230:VSH393231 VIK393230:VIL393231 UYO393230:UYP393231 UOS393230:UOT393231 UEW393230:UEX393231 TVA393230:TVB393231 TLE393230:TLF393231 TBI393230:TBJ393231 SRM393230:SRN393231 SHQ393230:SHR393231 RXU393230:RXV393231 RNY393230:RNZ393231 REC393230:RED393231 QUG393230:QUH393231 QKK393230:QKL393231 QAO393230:QAP393231 PQS393230:PQT393231 PGW393230:PGX393231 OXA393230:OXB393231 ONE393230:ONF393231 ODI393230:ODJ393231 NTM393230:NTN393231 NJQ393230:NJR393231 MZU393230:MZV393231 MPY393230:MPZ393231 MGC393230:MGD393231 LWG393230:LWH393231 LMK393230:LML393231 LCO393230:LCP393231 KSS393230:KST393231 KIW393230:KIX393231 JZA393230:JZB393231 JPE393230:JPF393231 JFI393230:JFJ393231 IVM393230:IVN393231 ILQ393230:ILR393231 IBU393230:IBV393231 HRY393230:HRZ393231 HIC393230:HID393231 GYG393230:GYH393231 GOK393230:GOL393231 GEO393230:GEP393231 FUS393230:FUT393231 FKW393230:FKX393231 FBA393230:FBB393231 ERE393230:ERF393231 EHI393230:EHJ393231 DXM393230:DXN393231 DNQ393230:DNR393231 DDU393230:DDV393231 CTY393230:CTZ393231 CKC393230:CKD393231 CAG393230:CAH393231 BQK393230:BQL393231 BGO393230:BGP393231 AWS393230:AWT393231 AMW393230:AMX393231 ADA393230:ADB393231 TE393230:TF393231 JI393230:JJ393231 WVU327694:WVV327695 WLY327694:WLZ327695 WCC327694:WCD327695 VSG327694:VSH327695 VIK327694:VIL327695 UYO327694:UYP327695 UOS327694:UOT327695 UEW327694:UEX327695 TVA327694:TVB327695 TLE327694:TLF327695 TBI327694:TBJ327695 SRM327694:SRN327695 SHQ327694:SHR327695 RXU327694:RXV327695 RNY327694:RNZ327695 REC327694:RED327695 QUG327694:QUH327695 QKK327694:QKL327695 QAO327694:QAP327695 PQS327694:PQT327695 PGW327694:PGX327695 OXA327694:OXB327695 ONE327694:ONF327695 ODI327694:ODJ327695 NTM327694:NTN327695 NJQ327694:NJR327695 MZU327694:MZV327695 MPY327694:MPZ327695 MGC327694:MGD327695 LWG327694:LWH327695 LMK327694:LML327695 LCO327694:LCP327695 KSS327694:KST327695 KIW327694:KIX327695 JZA327694:JZB327695 JPE327694:JPF327695 JFI327694:JFJ327695 IVM327694:IVN327695 ILQ327694:ILR327695 IBU327694:IBV327695 HRY327694:HRZ327695 HIC327694:HID327695 GYG327694:GYH327695 GOK327694:GOL327695 GEO327694:GEP327695 FUS327694:FUT327695 FKW327694:FKX327695 FBA327694:FBB327695 ERE327694:ERF327695 EHI327694:EHJ327695 DXM327694:DXN327695 DNQ327694:DNR327695 DDU327694:DDV327695 CTY327694:CTZ327695 CKC327694:CKD327695 CAG327694:CAH327695 BQK327694:BQL327695 BGO327694:BGP327695 AWS327694:AWT327695 AMW327694:AMX327695 ADA327694:ADB327695 TE327694:TF327695 JI327694:JJ327695 WVU262158:WVV262159 WLY262158:WLZ262159 WCC262158:WCD262159 VSG262158:VSH262159 VIK262158:VIL262159 UYO262158:UYP262159 UOS262158:UOT262159 UEW262158:UEX262159 TVA262158:TVB262159 TLE262158:TLF262159 TBI262158:TBJ262159 SRM262158:SRN262159 SHQ262158:SHR262159 RXU262158:RXV262159 RNY262158:RNZ262159 REC262158:RED262159 QUG262158:QUH262159 QKK262158:QKL262159 QAO262158:QAP262159 PQS262158:PQT262159 PGW262158:PGX262159 OXA262158:OXB262159 ONE262158:ONF262159 ODI262158:ODJ262159 NTM262158:NTN262159 NJQ262158:NJR262159 MZU262158:MZV262159 MPY262158:MPZ262159 MGC262158:MGD262159 LWG262158:LWH262159 LMK262158:LML262159 LCO262158:LCP262159 KSS262158:KST262159 KIW262158:KIX262159 JZA262158:JZB262159 JPE262158:JPF262159 JFI262158:JFJ262159 IVM262158:IVN262159 ILQ262158:ILR262159 IBU262158:IBV262159 HRY262158:HRZ262159 HIC262158:HID262159 GYG262158:GYH262159 GOK262158:GOL262159 GEO262158:GEP262159 FUS262158:FUT262159 FKW262158:FKX262159 FBA262158:FBB262159 ERE262158:ERF262159 EHI262158:EHJ262159 DXM262158:DXN262159 DNQ262158:DNR262159 DDU262158:DDV262159 CTY262158:CTZ262159 CKC262158:CKD262159 CAG262158:CAH262159 BQK262158:BQL262159 BGO262158:BGP262159 AWS262158:AWT262159 AMW262158:AMX262159 ADA262158:ADB262159 TE262158:TF262159 JI262158:JJ262159 WVU196622:WVV196623 WLY196622:WLZ196623 WCC196622:WCD196623 VSG196622:VSH196623 VIK196622:VIL196623 UYO196622:UYP196623 UOS196622:UOT196623 UEW196622:UEX196623 TVA196622:TVB196623 TLE196622:TLF196623 TBI196622:TBJ196623 SRM196622:SRN196623 SHQ196622:SHR196623 RXU196622:RXV196623 RNY196622:RNZ196623 REC196622:RED196623 QUG196622:QUH196623 QKK196622:QKL196623 QAO196622:QAP196623 PQS196622:PQT196623 PGW196622:PGX196623 OXA196622:OXB196623 ONE196622:ONF196623 ODI196622:ODJ196623 NTM196622:NTN196623 NJQ196622:NJR196623 MZU196622:MZV196623 MPY196622:MPZ196623 MGC196622:MGD196623 LWG196622:LWH196623 LMK196622:LML196623 LCO196622:LCP196623 KSS196622:KST196623 KIW196622:KIX196623 JZA196622:JZB196623 JPE196622:JPF196623 JFI196622:JFJ196623 IVM196622:IVN196623 ILQ196622:ILR196623 IBU196622:IBV196623 HRY196622:HRZ196623 HIC196622:HID196623 GYG196622:GYH196623 GOK196622:GOL196623 GEO196622:GEP196623 FUS196622:FUT196623 FKW196622:FKX196623 FBA196622:FBB196623 ERE196622:ERF196623 EHI196622:EHJ196623 DXM196622:DXN196623 DNQ196622:DNR196623 DDU196622:DDV196623 CTY196622:CTZ196623 CKC196622:CKD196623 CAG196622:CAH196623 BQK196622:BQL196623 BGO196622:BGP196623 AWS196622:AWT196623 AMW196622:AMX196623 ADA196622:ADB196623 TE196622:TF196623 JI196622:JJ196623 WVU131086:WVV131087 WLY131086:WLZ131087 WCC131086:WCD131087 VSG131086:VSH131087 VIK131086:VIL131087 UYO131086:UYP131087 UOS131086:UOT131087 UEW131086:UEX131087 TVA131086:TVB131087 TLE131086:TLF131087 TBI131086:TBJ131087 SRM131086:SRN131087 SHQ131086:SHR131087 RXU131086:RXV131087 RNY131086:RNZ131087 REC131086:RED131087 QUG131086:QUH131087 QKK131086:QKL131087 QAO131086:QAP131087 PQS131086:PQT131087 PGW131086:PGX131087 OXA131086:OXB131087 ONE131086:ONF131087 ODI131086:ODJ131087 NTM131086:NTN131087 NJQ131086:NJR131087 MZU131086:MZV131087 MPY131086:MPZ131087 MGC131086:MGD131087 LWG131086:LWH131087 LMK131086:LML131087 LCO131086:LCP131087 KSS131086:KST131087 KIW131086:KIX131087 JZA131086:JZB131087 JPE131086:JPF131087 JFI131086:JFJ131087 IVM131086:IVN131087 ILQ131086:ILR131087 IBU131086:IBV131087 HRY131086:HRZ131087 HIC131086:HID131087 GYG131086:GYH131087 GOK131086:GOL131087 GEO131086:GEP131087 FUS131086:FUT131087 FKW131086:FKX131087 FBA131086:FBB131087 ERE131086:ERF131087 EHI131086:EHJ131087 DXM131086:DXN131087 DNQ131086:DNR131087 DDU131086:DDV131087 CTY131086:CTZ131087 CKC131086:CKD131087 CAG131086:CAH131087 BQK131086:BQL131087 BGO131086:BGP131087 AWS131086:AWT131087 AMW131086:AMX131087 ADA131086:ADB131087 TE131086:TF131087 JI131086:JJ131087 WVU65550:WVV65551 WLY65550:WLZ65551 WCC65550:WCD65551 VSG65550:VSH65551 VIK65550:VIL65551 UYO65550:UYP65551 UOS65550:UOT65551 UEW65550:UEX65551 TVA65550:TVB65551 TLE65550:TLF65551 TBI65550:TBJ65551 SRM65550:SRN65551 SHQ65550:SHR65551 RXU65550:RXV65551 RNY65550:RNZ65551 REC65550:RED65551 QUG65550:QUH65551 QKK65550:QKL65551 QAO65550:QAP65551 PQS65550:PQT65551 PGW65550:PGX65551 OXA65550:OXB65551 ONE65550:ONF65551 ODI65550:ODJ65551 NTM65550:NTN65551 NJQ65550:NJR65551 MZU65550:MZV65551 MPY65550:MPZ65551 MGC65550:MGD65551 LWG65550:LWH65551 LMK65550:LML65551 LCO65550:LCP65551 KSS65550:KST65551 KIW65550:KIX65551 JZA65550:JZB65551 JPE65550:JPF65551 JFI65550:JFJ65551 IVM65550:IVN65551 ILQ65550:ILR65551 IBU65550:IBV65551 HRY65550:HRZ65551 HIC65550:HID65551 GYG65550:GYH65551 GOK65550:GOL65551 GEO65550:GEP65551 FUS65550:FUT65551 FKW65550:FKX65551 FBA65550:FBB65551 ERE65550:ERF65551 EHI65550:EHJ65551 DXM65550:DXN65551 DNQ65550:DNR65551 DDU65550:DDV65551 CTY65550:CTZ65551 CKC65550:CKD65551 CAG65550:CAH65551 BQK65550:BQL65551 BGO65550:BGP65551 AWS65550:AWT65551 AMW65550:AMX65551 ADA65550:ADB65551 TE65550:TF65551">
      <formula1>B65550</formula1>
    </dataValidation>
    <dataValidation type="whole" operator="greaterThanOrEqual" allowBlank="1" showInputMessage="1" showErrorMessage="1" sqref="A22:A23">
      <formula1>1</formula1>
    </dataValidation>
    <dataValidation type="list" showInputMessage="1" showErrorMessage="1" sqref="T29:T33">
      <formula1>"True,False"</formula1>
    </dataValidation>
  </dataValidations>
  <pageMargins left="0.33250000000000002" right="1.3748958333333334" top="0.33" bottom="0.33" header="0.19" footer="0.22"/>
  <pageSetup paperSize="9" scale="7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9"/>
  <sheetViews>
    <sheetView workbookViewId="0">
      <selection activeCell="L5" sqref="L5"/>
    </sheetView>
  </sheetViews>
  <sheetFormatPr defaultColWidth="8.85546875" defaultRowHeight="15" x14ac:dyDescent="0.25"/>
  <cols>
    <col min="1" max="16384" width="8.85546875" style="145"/>
  </cols>
  <sheetData>
    <row r="1" spans="1:19" ht="15.75" thickBot="1" x14ac:dyDescent="0.3"/>
    <row r="2" spans="1:19" ht="15.75" thickBot="1" x14ac:dyDescent="0.3">
      <c r="A2" s="249" t="s">
        <v>33</v>
      </c>
      <c r="B2" s="251" t="s">
        <v>9</v>
      </c>
      <c r="C2" s="233" t="s">
        <v>34</v>
      </c>
      <c r="D2" s="235" t="s">
        <v>19</v>
      </c>
      <c r="E2" s="237" t="s">
        <v>35</v>
      </c>
      <c r="F2" s="238"/>
      <c r="G2" s="238"/>
      <c r="H2" s="238"/>
      <c r="I2" s="238"/>
      <c r="J2" s="238"/>
      <c r="K2" s="239"/>
      <c r="L2" s="254" t="s">
        <v>36</v>
      </c>
      <c r="M2" s="255"/>
      <c r="N2" s="255"/>
      <c r="O2" s="255"/>
      <c r="P2" s="242" t="s">
        <v>37</v>
      </c>
      <c r="Q2" s="239"/>
    </row>
    <row r="3" spans="1:19" ht="46.5" thickTop="1" thickBot="1" x14ac:dyDescent="0.3">
      <c r="A3" s="250"/>
      <c r="B3" s="268"/>
      <c r="C3" s="253"/>
      <c r="D3" s="267"/>
      <c r="E3" s="146" t="s">
        <v>17</v>
      </c>
      <c r="F3" s="51" t="s">
        <v>12</v>
      </c>
      <c r="G3" s="51" t="s">
        <v>13</v>
      </c>
      <c r="H3" s="51" t="s">
        <v>14</v>
      </c>
      <c r="I3" s="51" t="s">
        <v>27</v>
      </c>
      <c r="J3" s="51" t="s">
        <v>29</v>
      </c>
      <c r="K3" s="52" t="s">
        <v>20</v>
      </c>
      <c r="L3" s="50" t="s">
        <v>17</v>
      </c>
      <c r="M3" s="51" t="s">
        <v>12</v>
      </c>
      <c r="N3" s="51" t="s">
        <v>13</v>
      </c>
      <c r="O3" s="52" t="s">
        <v>20</v>
      </c>
      <c r="P3" s="53" t="s">
        <v>38</v>
      </c>
      <c r="Q3" s="54" t="s">
        <v>20</v>
      </c>
      <c r="R3" s="147" t="s">
        <v>56</v>
      </c>
    </row>
    <row r="4" spans="1:19" ht="15.75" x14ac:dyDescent="0.25">
      <c r="A4" s="148" t="str">
        <f>IF(Before!A13&gt;0,Before!A13,"")</f>
        <v/>
      </c>
      <c r="B4" s="149" t="s">
        <v>43</v>
      </c>
      <c r="C4" s="150" t="s">
        <v>44</v>
      </c>
      <c r="D4" s="61">
        <f>Before!D13</f>
        <v>138.34</v>
      </c>
      <c r="E4" s="151">
        <f>Before!E13</f>
        <v>2.27</v>
      </c>
      <c r="F4" s="151">
        <f>Before!F13</f>
        <v>109.986</v>
      </c>
      <c r="G4" s="151">
        <f>Before!G13</f>
        <v>0.79504120283359836</v>
      </c>
      <c r="H4" s="152">
        <f>Before!H13</f>
        <v>45</v>
      </c>
      <c r="I4" s="151" t="str">
        <f>Before!I13</f>
        <v>0.9837</v>
      </c>
      <c r="J4" s="153">
        <f>Before!J13</f>
        <v>0.96420000000000006</v>
      </c>
      <c r="K4" s="151">
        <f>Before!K13</f>
        <v>106.0485012</v>
      </c>
      <c r="L4" s="154">
        <v>1.5</v>
      </c>
      <c r="M4" s="155">
        <f>'FO(1P)'!N21</f>
        <v>121.35640000000001</v>
      </c>
      <c r="N4" s="156">
        <f>M4/D4</f>
        <v>0.87723290443834034</v>
      </c>
      <c r="O4" s="157">
        <f>Q4+K4</f>
        <v>106.0485012</v>
      </c>
      <c r="P4" s="151">
        <f>IF(A4="",IF(R4="Yes",M4-F4,0),M4-F4)</f>
        <v>0</v>
      </c>
      <c r="Q4" s="158">
        <f>P4*Before!$K$8</f>
        <v>0</v>
      </c>
      <c r="R4" s="159" t="s">
        <v>15</v>
      </c>
      <c r="S4" s="160"/>
    </row>
    <row r="5" spans="1:19" ht="15.75" x14ac:dyDescent="0.25">
      <c r="A5" s="148" t="str">
        <f>IF(Before!A14&gt;0,Before!A14,"")</f>
        <v/>
      </c>
      <c r="B5" s="161" t="s">
        <v>45</v>
      </c>
      <c r="C5" s="162" t="s">
        <v>44</v>
      </c>
      <c r="D5" s="61">
        <f>Before!D14</f>
        <v>138.34</v>
      </c>
      <c r="E5" s="151">
        <f>Before!E14</f>
        <v>2.5499999999999998</v>
      </c>
      <c r="F5" s="151">
        <f>Before!F14</f>
        <v>106.30399999999999</v>
      </c>
      <c r="G5" s="151">
        <f>Before!G14</f>
        <v>0.76842561804250387</v>
      </c>
      <c r="H5" s="152">
        <f>Before!H14</f>
        <v>45</v>
      </c>
      <c r="I5" s="151" t="str">
        <f>Before!I14</f>
        <v>0.9837</v>
      </c>
      <c r="J5" s="153">
        <f>Before!J14</f>
        <v>0.96420000000000006</v>
      </c>
      <c r="K5" s="151">
        <f>Before!K14</f>
        <v>102.4983168</v>
      </c>
      <c r="L5" s="163">
        <v>1.79</v>
      </c>
      <c r="M5" s="155">
        <f>'FO(1S)'!N21</f>
        <v>117.50900000000001</v>
      </c>
      <c r="N5" s="165">
        <f>M5/D5</f>
        <v>0.84942171461616311</v>
      </c>
      <c r="O5" s="157">
        <f t="shared" ref="O5:O7" si="0">Q5+K5</f>
        <v>102.4983168</v>
      </c>
      <c r="P5" s="151">
        <f t="shared" ref="P5:P7" si="1">IF(A5="",IF(R5="Yes",M5-F5,0),M5-F5)</f>
        <v>0</v>
      </c>
      <c r="Q5" s="158">
        <f>P5*Before!$K$8</f>
        <v>0</v>
      </c>
      <c r="R5" s="159" t="s">
        <v>15</v>
      </c>
    </row>
    <row r="6" spans="1:19" s="218" customFormat="1" ht="15.75" x14ac:dyDescent="0.25">
      <c r="A6" s="148">
        <f>IF(Before!A15&gt;0,Before!A15,"")</f>
        <v>1</v>
      </c>
      <c r="B6" s="161" t="s">
        <v>47</v>
      </c>
      <c r="C6" s="162" t="s">
        <v>44</v>
      </c>
      <c r="D6" s="61">
        <f>Before!D15</f>
        <v>230.84</v>
      </c>
      <c r="E6" s="151">
        <f>Before!E15</f>
        <v>7.43</v>
      </c>
      <c r="F6" s="151">
        <f>Before!F15</f>
        <v>57.39</v>
      </c>
      <c r="G6" s="151">
        <f>Before!G15</f>
        <v>0.24861375844740946</v>
      </c>
      <c r="H6" s="152">
        <f>Before!H15</f>
        <v>15</v>
      </c>
      <c r="I6" s="151" t="str">
        <f>Before!I15</f>
        <v>0.9838</v>
      </c>
      <c r="J6" s="153">
        <f>Before!J15</f>
        <v>0.98380000000000001</v>
      </c>
      <c r="K6" s="151">
        <f>Before!K15</f>
        <v>56.460281999999999</v>
      </c>
      <c r="L6" s="163">
        <v>2.4</v>
      </c>
      <c r="M6" s="155">
        <f>'FO(2P)'!N21</f>
        <v>180.452</v>
      </c>
      <c r="N6" s="165">
        <f>M6/D6</f>
        <v>0.78171893952521221</v>
      </c>
      <c r="O6" s="157">
        <f t="shared" ref="O6" si="2">Q6+K6</f>
        <v>175.1166624</v>
      </c>
      <c r="P6" s="151">
        <f t="shared" ref="P6" si="3">IF(A6="",IF(R6="Yes",M6-F6,0),M6-F6)</f>
        <v>123.062</v>
      </c>
      <c r="Q6" s="158">
        <f>P6*Before!$K$8</f>
        <v>118.6563804</v>
      </c>
      <c r="R6" s="159" t="s">
        <v>15</v>
      </c>
    </row>
    <row r="7" spans="1:19" ht="16.5" thickBot="1" x14ac:dyDescent="0.3">
      <c r="A7" s="148">
        <f>IF(Before!A16&gt;0,Before!A16,"")</f>
        <v>1</v>
      </c>
      <c r="B7" s="166" t="s">
        <v>46</v>
      </c>
      <c r="C7" s="167" t="s">
        <v>44</v>
      </c>
      <c r="D7" s="61">
        <f>Before!D16</f>
        <v>230.84</v>
      </c>
      <c r="E7" s="151">
        <f>Before!E16</f>
        <v>7.6</v>
      </c>
      <c r="F7" s="151">
        <f>Before!F16</f>
        <v>53.1462</v>
      </c>
      <c r="G7" s="151">
        <f>Before!G16</f>
        <v>0.23022959625714781</v>
      </c>
      <c r="H7" s="152">
        <f>Before!H16</f>
        <v>15</v>
      </c>
      <c r="I7" s="151" t="str">
        <f>Before!I16</f>
        <v>0.9838</v>
      </c>
      <c r="J7" s="153">
        <f>Before!J16</f>
        <v>0.98380000000000001</v>
      </c>
      <c r="K7" s="151">
        <f>Before!K16</f>
        <v>52.28523156</v>
      </c>
      <c r="L7" s="168">
        <v>2.4</v>
      </c>
      <c r="M7" s="155">
        <f>'FO(2S)'!N21</f>
        <v>180.3612</v>
      </c>
      <c r="N7" s="169">
        <f>M7/D7</f>
        <v>0.78132559348466468</v>
      </c>
      <c r="O7" s="157">
        <f t="shared" si="0"/>
        <v>174.94593456000001</v>
      </c>
      <c r="P7" s="151">
        <f t="shared" si="1"/>
        <v>127.215</v>
      </c>
      <c r="Q7" s="158">
        <f>P7*Before!$K$8</f>
        <v>122.66070300000001</v>
      </c>
      <c r="R7" s="159" t="s">
        <v>15</v>
      </c>
    </row>
    <row r="8" spans="1:19" ht="16.5" thickBot="1" x14ac:dyDescent="0.3">
      <c r="A8" s="170"/>
      <c r="B8" s="103" t="s">
        <v>10</v>
      </c>
      <c r="C8" s="171"/>
      <c r="D8" s="105">
        <f>SUM(D4:D7)</f>
        <v>738.36</v>
      </c>
      <c r="E8" s="106"/>
      <c r="F8" s="107">
        <f>SUM(F4:F7)</f>
        <v>326.82620000000003</v>
      </c>
      <c r="G8" s="170"/>
      <c r="H8" s="170"/>
      <c r="I8" s="106"/>
      <c r="J8" s="106"/>
      <c r="K8" s="107">
        <f>SUM(K4:K7)</f>
        <v>317.29233155999998</v>
      </c>
      <c r="L8" s="106"/>
      <c r="M8" s="107">
        <f>SUM(M4:M7)</f>
        <v>599.67859999999996</v>
      </c>
      <c r="N8" s="170"/>
      <c r="O8" s="108">
        <f>SUM(O4:O7)</f>
        <v>558.60941496000009</v>
      </c>
      <c r="P8" s="107">
        <f>SUM(P4:P7)</f>
        <v>250.27699999999999</v>
      </c>
      <c r="Q8" s="107">
        <f>SUM(Q4:Q7)</f>
        <v>241.3170834</v>
      </c>
    </row>
    <row r="9" spans="1:19" ht="26.65" customHeight="1" thickBot="1" x14ac:dyDescent="0.3">
      <c r="O9" s="172" t="str">
        <f>IF(Q9&gt;0,"Gain","Loss")</f>
        <v>Loss</v>
      </c>
      <c r="P9" s="173">
        <f>P8-Before!V8</f>
        <v>-9.0053065753992882</v>
      </c>
      <c r="Q9" s="174">
        <f>P9*Before!K8</f>
        <v>-8.6829165999999951</v>
      </c>
    </row>
    <row r="13" spans="1:19" ht="15.75" thickBot="1" x14ac:dyDescent="0.3"/>
    <row r="14" spans="1:19" ht="15.75" thickBot="1" x14ac:dyDescent="0.3">
      <c r="A14" s="229" t="s">
        <v>33</v>
      </c>
      <c r="B14" s="231" t="s">
        <v>9</v>
      </c>
      <c r="C14" s="233" t="s">
        <v>34</v>
      </c>
      <c r="D14" s="235" t="s">
        <v>19</v>
      </c>
      <c r="E14" s="237" t="s">
        <v>35</v>
      </c>
      <c r="F14" s="238"/>
      <c r="G14" s="238"/>
      <c r="H14" s="238"/>
      <c r="I14" s="238"/>
      <c r="J14" s="238"/>
      <c r="K14" s="239"/>
      <c r="L14" s="240" t="s">
        <v>36</v>
      </c>
      <c r="M14" s="241"/>
      <c r="N14" s="241"/>
      <c r="O14" s="241"/>
      <c r="P14" s="242" t="s">
        <v>37</v>
      </c>
      <c r="Q14" s="239"/>
    </row>
    <row r="15" spans="1:19" ht="46.5" thickTop="1" thickBot="1" x14ac:dyDescent="0.3">
      <c r="A15" s="230"/>
      <c r="B15" s="266"/>
      <c r="C15" s="234"/>
      <c r="D15" s="267"/>
      <c r="E15" s="50" t="s">
        <v>18</v>
      </c>
      <c r="F15" s="51" t="s">
        <v>12</v>
      </c>
      <c r="G15" s="51" t="s">
        <v>13</v>
      </c>
      <c r="H15" s="51" t="s">
        <v>14</v>
      </c>
      <c r="I15" s="51" t="s">
        <v>27</v>
      </c>
      <c r="J15" s="51" t="s">
        <v>29</v>
      </c>
      <c r="K15" s="52" t="s">
        <v>20</v>
      </c>
      <c r="L15" s="50" t="s">
        <v>18</v>
      </c>
      <c r="M15" s="51" t="s">
        <v>12</v>
      </c>
      <c r="N15" s="51" t="s">
        <v>13</v>
      </c>
      <c r="O15" s="52" t="s">
        <v>20</v>
      </c>
      <c r="P15" s="120" t="s">
        <v>38</v>
      </c>
      <c r="Q15" s="54" t="s">
        <v>20</v>
      </c>
    </row>
    <row r="16" spans="1:19" ht="15.75" x14ac:dyDescent="0.25">
      <c r="A16" s="148">
        <f>IF(Before!A22&gt;0,Before!A22,"")</f>
        <v>1</v>
      </c>
      <c r="B16" s="177" t="s">
        <v>48</v>
      </c>
      <c r="C16" s="162" t="s">
        <v>87</v>
      </c>
      <c r="D16" s="124">
        <f>Before!D22</f>
        <v>54.85</v>
      </c>
      <c r="E16" s="151">
        <f>Before!E22</f>
        <v>2.27</v>
      </c>
      <c r="F16" s="151">
        <f>Before!F22</f>
        <v>9.261000000000001</v>
      </c>
      <c r="G16" s="151">
        <f>Before!G22</f>
        <v>0.16884229717411123</v>
      </c>
      <c r="H16" s="152">
        <f>Before!H22</f>
        <v>19</v>
      </c>
      <c r="I16" s="151" t="str">
        <f>Before!I22</f>
        <v>0.8586</v>
      </c>
      <c r="J16" s="153">
        <f>Before!J22</f>
        <v>0.85599999999999998</v>
      </c>
      <c r="K16" s="151">
        <f>Before!K22</f>
        <v>7.9274160000000009</v>
      </c>
      <c r="L16" s="178">
        <v>6.05</v>
      </c>
      <c r="M16" s="164">
        <f>'DO(P)'!N21</f>
        <v>45.2</v>
      </c>
      <c r="N16" s="165">
        <f>M16/D16</f>
        <v>0.82406563354603468</v>
      </c>
      <c r="O16" s="175">
        <f t="shared" ref="O16:O17" si="4">Q16+K16</f>
        <v>38.691200000000002</v>
      </c>
      <c r="P16" s="151">
        <f t="shared" ref="P16:P17" si="5">IF(A16="",IF(R16="Yes",M16-F16,0),M16-F16)</f>
        <v>35.939</v>
      </c>
      <c r="Q16" s="176">
        <f>P16*Before!$K$9</f>
        <v>30.763784000000001</v>
      </c>
      <c r="R16" s="159"/>
    </row>
    <row r="17" spans="1:18" ht="15.75" x14ac:dyDescent="0.25">
      <c r="A17" s="148">
        <f>IF(Before!A23&gt;0,Before!A23,"")</f>
        <v>1</v>
      </c>
      <c r="B17" s="177" t="s">
        <v>49</v>
      </c>
      <c r="C17" s="162" t="s">
        <v>87</v>
      </c>
      <c r="D17" s="124">
        <f>Before!D23</f>
        <v>54.85</v>
      </c>
      <c r="E17" s="151">
        <f>Before!E23</f>
        <v>2.44</v>
      </c>
      <c r="F17" s="151">
        <f>Before!F23</f>
        <v>10.65</v>
      </c>
      <c r="G17" s="151">
        <f>Before!G23</f>
        <v>0.19416590701914313</v>
      </c>
      <c r="H17" s="152">
        <f>Before!H23</f>
        <v>19</v>
      </c>
      <c r="I17" s="151" t="str">
        <f>Before!I23</f>
        <v>0.8586</v>
      </c>
      <c r="J17" s="153">
        <f>Before!J23</f>
        <v>0.85599999999999998</v>
      </c>
      <c r="K17" s="151">
        <f>Before!K23</f>
        <v>9.1164000000000005</v>
      </c>
      <c r="L17" s="178">
        <v>6.05</v>
      </c>
      <c r="M17" s="164">
        <f>'DO(S)'!N21</f>
        <v>45.2</v>
      </c>
      <c r="N17" s="165">
        <f>M17/D17</f>
        <v>0.82406563354603468</v>
      </c>
      <c r="O17" s="175">
        <f t="shared" si="4"/>
        <v>38.691200000000002</v>
      </c>
      <c r="P17" s="151">
        <f t="shared" si="5"/>
        <v>34.550000000000004</v>
      </c>
      <c r="Q17" s="176">
        <f>P17*Before!$K$9</f>
        <v>29.574800000000003</v>
      </c>
      <c r="R17" s="159"/>
    </row>
    <row r="18" spans="1:18" ht="16.5" thickBot="1" x14ac:dyDescent="0.3">
      <c r="A18" s="170"/>
      <c r="B18" s="103" t="s">
        <v>10</v>
      </c>
      <c r="C18" s="179"/>
      <c r="D18" s="135">
        <f>SUM(D16:D17)</f>
        <v>109.7</v>
      </c>
      <c r="E18" s="106"/>
      <c r="F18" s="107">
        <f>SUM(F16:F17)</f>
        <v>19.911000000000001</v>
      </c>
      <c r="G18" s="171"/>
      <c r="H18" s="110"/>
      <c r="I18" s="110"/>
      <c r="J18" s="110"/>
      <c r="K18" s="107">
        <f>SUM(K16:K17)</f>
        <v>17.043816</v>
      </c>
      <c r="L18" s="136"/>
      <c r="M18" s="107">
        <f>SUM(M16:M17)</f>
        <v>90.4</v>
      </c>
      <c r="N18" s="136"/>
      <c r="O18" s="108">
        <f>SUM(O16:O17)</f>
        <v>77.382400000000004</v>
      </c>
      <c r="P18" s="107">
        <f>SUM(P16:P17)</f>
        <v>70.489000000000004</v>
      </c>
      <c r="Q18" s="180">
        <f>SUM(Q16:Q17)</f>
        <v>60.338584000000004</v>
      </c>
    </row>
    <row r="19" spans="1:18" ht="27" customHeight="1" x14ac:dyDescent="0.25">
      <c r="O19" s="181" t="str">
        <f>IF(Q19&gt;0,"Gain","Loss")</f>
        <v>Gain</v>
      </c>
      <c r="P19" s="182">
        <f>P18-Before!V9</f>
        <v>0.395542056074774</v>
      </c>
      <c r="Q19" s="182">
        <f>P19*Before!K9</f>
        <v>0.33858400000000655</v>
      </c>
    </row>
  </sheetData>
  <sheetProtection sheet="1" objects="1" scenarios="1" selectLockedCells="1"/>
  <mergeCells count="14">
    <mergeCell ref="P2:Q2"/>
    <mergeCell ref="A14:A15"/>
    <mergeCell ref="B14:B15"/>
    <mergeCell ref="C14:C15"/>
    <mergeCell ref="D14:D15"/>
    <mergeCell ref="E14:K14"/>
    <mergeCell ref="L14:O14"/>
    <mergeCell ref="P14:Q14"/>
    <mergeCell ref="A2:A3"/>
    <mergeCell ref="B2:B3"/>
    <mergeCell ref="C2:C3"/>
    <mergeCell ref="D2:D3"/>
    <mergeCell ref="E2:K2"/>
    <mergeCell ref="L2:O2"/>
  </mergeCells>
  <conditionalFormatting sqref="L4:L7 L16:L17">
    <cfRule type="expression" dxfId="23" priority="7">
      <formula>IF(NOT($A4=""),TRUE,FALSE)</formula>
    </cfRule>
  </conditionalFormatting>
  <conditionalFormatting sqref="O9:Q9">
    <cfRule type="expression" dxfId="22" priority="2">
      <formula>IF($Q$9&gt;0,TRUE,FALSE)</formula>
    </cfRule>
  </conditionalFormatting>
  <conditionalFormatting sqref="O19:Q19">
    <cfRule type="expression" dxfId="21" priority="1">
      <formula>IF($Q$19&gt;0,TRUE,FALSE)</formula>
    </cfRule>
  </conditionalFormatting>
  <conditionalFormatting sqref="A4:A7">
    <cfRule type="expression" dxfId="20" priority="24">
      <formula>IF(AND(ISBLANK($A4),$R$17="Fill more tanks"),TRUE,FALSE)</formula>
    </cfRule>
  </conditionalFormatting>
  <conditionalFormatting sqref="B16">
    <cfRule type="expression" dxfId="19" priority="28">
      <formula>IF(#REF!="Consumption",TRUE,FALSE)</formula>
    </cfRule>
  </conditionalFormatting>
  <conditionalFormatting sqref="A16:A17">
    <cfRule type="expression" dxfId="18" priority="29">
      <formula>IF(AND(ISBLANK($A16),$R$24="Fill more tanks"),TRUE,FALSE)</formula>
    </cfRule>
  </conditionalFormatting>
  <dataValidations count="3">
    <dataValidation type="list" allowBlank="1" showInputMessage="1" showErrorMessage="1" sqref="R4:R7 R16:R17">
      <formula1>"Yes, "</formula1>
    </dataValidation>
    <dataValidation type="whole" operator="greaterThanOrEqual" allowBlank="1" showInputMessage="1" showErrorMessage="1" error="Only numbers more than 0 and less than 4 are allowed_x000a_" sqref="A4:A7">
      <formula1>1</formula1>
    </dataValidation>
    <dataValidation type="whole" operator="greaterThanOrEqual" allowBlank="1" showInputMessage="1" showErrorMessage="1" sqref="A16:A17">
      <formula1>1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C1" workbookViewId="0">
      <selection activeCell="A5" sqref="A5:O8"/>
    </sheetView>
  </sheetViews>
  <sheetFormatPr defaultColWidth="8.85546875" defaultRowHeight="15" x14ac:dyDescent="0.25"/>
  <cols>
    <col min="1" max="1" width="8.85546875" style="183"/>
    <col min="2" max="2" width="11.7109375" style="183" customWidth="1"/>
    <col min="3" max="3" width="13.5703125" style="183" customWidth="1"/>
    <col min="4" max="4" width="10.28515625" style="183" customWidth="1"/>
    <col min="5" max="5" width="11.7109375" style="183" customWidth="1"/>
    <col min="6" max="7" width="9.5703125" style="183" bestFit="1" customWidth="1"/>
    <col min="8" max="8" width="9.85546875" style="183" customWidth="1"/>
    <col min="9" max="12" width="8.85546875" style="183"/>
    <col min="13" max="13" width="9.5703125" style="183" customWidth="1"/>
    <col min="14" max="16384" width="8.85546875" style="183"/>
  </cols>
  <sheetData>
    <row r="1" spans="1:15" ht="14.45" customHeight="1" x14ac:dyDescent="0.25">
      <c r="A1" s="183" t="s">
        <v>57</v>
      </c>
      <c r="B1" s="184" t="str">
        <f>IF(ISBLANK(Before!A13),"",Before!B13&amp;",")&amp;IF(ISBLANK(Before!A14),"",Before!B14&amp;",")&amp;IF(ISBLANK(Before!A15),"",Before!B15&amp;",")&amp;IF(ISBLANK(Before!A16),"",Before!B16&amp;",")&amp;IF(ISBLANK(Before!A22),"",Before!B22&amp;",")&amp;IF(ISBLANK(Before!A23),"",Before!B23&amp;",")</f>
        <v>FO (2P),FO (2S),DO (1P),DO (1S),</v>
      </c>
    </row>
    <row r="2" spans="1:15" x14ac:dyDescent="0.25">
      <c r="A2" s="185"/>
      <c r="B2" s="186"/>
      <c r="C2" s="187"/>
      <c r="D2" s="188"/>
      <c r="E2" s="188"/>
      <c r="F2" s="189" t="s">
        <v>58</v>
      </c>
      <c r="G2" s="189" t="s">
        <v>58</v>
      </c>
      <c r="H2" s="275" t="s">
        <v>59</v>
      </c>
      <c r="I2" s="275"/>
      <c r="J2" s="275"/>
      <c r="K2" s="276" t="s">
        <v>60</v>
      </c>
      <c r="L2" s="277"/>
      <c r="M2" s="278" t="s">
        <v>61</v>
      </c>
      <c r="N2" s="279"/>
      <c r="O2" s="280"/>
    </row>
    <row r="3" spans="1:15" x14ac:dyDescent="0.25">
      <c r="A3" s="189" t="s">
        <v>62</v>
      </c>
      <c r="B3" s="281" t="s">
        <v>63</v>
      </c>
      <c r="C3" s="282"/>
      <c r="D3" s="190" t="s">
        <v>34</v>
      </c>
      <c r="E3" s="190" t="s">
        <v>64</v>
      </c>
      <c r="F3" s="191" t="s">
        <v>65</v>
      </c>
      <c r="G3" s="191" t="s">
        <v>66</v>
      </c>
      <c r="H3" s="192" t="s">
        <v>67</v>
      </c>
      <c r="I3" s="192" t="s">
        <v>67</v>
      </c>
      <c r="J3" s="193" t="s">
        <v>63</v>
      </c>
      <c r="K3" s="283" t="s">
        <v>68</v>
      </c>
      <c r="L3" s="284"/>
      <c r="M3" s="192" t="s">
        <v>69</v>
      </c>
      <c r="N3" s="192" t="s">
        <v>70</v>
      </c>
      <c r="O3" s="191" t="s">
        <v>63</v>
      </c>
    </row>
    <row r="4" spans="1:15" x14ac:dyDescent="0.25">
      <c r="A4" s="194"/>
      <c r="B4" s="195"/>
      <c r="C4" s="196"/>
      <c r="D4" s="194"/>
      <c r="E4" s="194"/>
      <c r="F4" s="194"/>
      <c r="G4" s="194"/>
      <c r="H4" s="194" t="s">
        <v>71</v>
      </c>
      <c r="I4" s="194" t="s">
        <v>72</v>
      </c>
      <c r="J4" s="195" t="s">
        <v>73</v>
      </c>
      <c r="K4" s="273" t="s">
        <v>74</v>
      </c>
      <c r="L4" s="274"/>
      <c r="M4" s="194" t="s">
        <v>71</v>
      </c>
      <c r="N4" s="194" t="s">
        <v>72</v>
      </c>
      <c r="O4" s="194" t="s">
        <v>73</v>
      </c>
    </row>
    <row r="5" spans="1:15" x14ac:dyDescent="0.25">
      <c r="A5" s="197">
        <f>IF(B5="","",1)</f>
        <v>1</v>
      </c>
      <c r="B5" s="269" t="str">
        <f>LEFT($B$1,SEARCH(",",$B$1)-1)</f>
        <v>FO (2P)</v>
      </c>
      <c r="C5" s="270"/>
      <c r="D5" s="197" t="str">
        <f>IF(B5="","",VLOOKUP($B5,Before!$B$13:$Q$23,2,FALSE))</f>
        <v>IFO</v>
      </c>
      <c r="E5" s="198"/>
      <c r="F5" s="197">
        <f>IF(B5="","",VLOOKUP($B5,Before!$B$13:$Q$23,3,FALSE))</f>
        <v>230.84</v>
      </c>
      <c r="G5" s="199">
        <f>IF(B5="","",$F5*0.85)</f>
        <v>196.214</v>
      </c>
      <c r="H5" s="199" t="str">
        <f>IF(B5="","",IF(D5="IFO",ROUND(VLOOKUP($B5,Before!$B$13:$Q$23,4,FALSE),2)&amp;" (U)",VLOOKUP($B5,Before!$B$13:$Q$23,4,FALSE)))</f>
        <v>7.43 (U)</v>
      </c>
      <c r="I5" s="199">
        <f>IF(B5="","",VLOOKUP($B5,Before!$B$13:$Q$23,5,FALSE))</f>
        <v>57.39</v>
      </c>
      <c r="J5" s="200">
        <f>IF(B5="","",$I5/$F5)</f>
        <v>0.24861375844740946</v>
      </c>
      <c r="K5" s="271"/>
      <c r="L5" s="271"/>
      <c r="M5" s="199" t="str">
        <f>IF(B5="","",IF(D5="IFO",ROUND(VLOOKUP($B5,Before!$B$13:$Q$23,11,FALSE),2)&amp;" (U)",VLOOKUP($B5,Before!$B$13:$Q$23,11,FALSE)))</f>
        <v>2.22 (U)</v>
      </c>
      <c r="N5" s="199">
        <f>IF(B5="","",VLOOKUP($B5,Before!$B$13:$Q$23,12,FALSE))</f>
        <v>184.90925328769964</v>
      </c>
      <c r="O5" s="200">
        <f>IF(B5="","",$N5/$F5)</f>
        <v>0.80102778239343109</v>
      </c>
    </row>
    <row r="6" spans="1:15" x14ac:dyDescent="0.25">
      <c r="A6" s="197">
        <f>IF(B6="","",2)</f>
        <v>2</v>
      </c>
      <c r="B6" s="269" t="str">
        <f t="shared" ref="B6:B10" si="0">IF($B5="","",MID($B$1,SEARCH($B5&amp;",",$B$1)+8,7))</f>
        <v>FO (2S)</v>
      </c>
      <c r="C6" s="270"/>
      <c r="D6" s="197" t="str">
        <f>IF(B6="","",VLOOKUP($B6,Before!$B$13:$Q$23,2,FALSE))</f>
        <v>IFO</v>
      </c>
      <c r="E6" s="198"/>
      <c r="F6" s="197">
        <f>IF(B6="","",VLOOKUP($B6,Before!$B$13:$Q$23,3,FALSE))</f>
        <v>230.84</v>
      </c>
      <c r="G6" s="199">
        <f t="shared" ref="G6:G10" si="1">IF(B6="","",$F6*0.85)</f>
        <v>196.214</v>
      </c>
      <c r="H6" s="199" t="str">
        <f>IF(B6="","",IF(D6="IFO",ROUND(VLOOKUP($B6,Before!$B$13:$Q$23,4,FALSE),2)&amp;" (U)",VLOOKUP($B6,Before!$B$13:$Q$23,4,FALSE)))</f>
        <v>7.6 (U)</v>
      </c>
      <c r="I6" s="199">
        <f>IF(B6="","",VLOOKUP($B6,Before!$B$13:$Q$23,5,FALSE))</f>
        <v>53.1462</v>
      </c>
      <c r="J6" s="200">
        <f t="shared" ref="J6:J10" si="2">IF(B6="","",$I6/$F6)</f>
        <v>0.23022959625714781</v>
      </c>
      <c r="K6" s="271"/>
      <c r="L6" s="271"/>
      <c r="M6" s="199" t="str">
        <f>IF(B6="","",IF(D6="IFO",ROUND(VLOOKUP($B6,Before!$B$13:$Q$23,11,FALSE),2)&amp;" (U)",VLOOKUP($B6,Before!$B$13:$Q$23,11,FALSE)))</f>
        <v>2.21 (U)</v>
      </c>
      <c r="N6" s="199">
        <f>IF(B6="","",VLOOKUP($B6,Before!$B$13:$Q$23,12,FALSE))</f>
        <v>184.90925328769964</v>
      </c>
      <c r="O6" s="200">
        <f t="shared" ref="O6:O10" si="3">IF(B6="","",$N6/$F6)</f>
        <v>0.80102778239343109</v>
      </c>
    </row>
    <row r="7" spans="1:15" x14ac:dyDescent="0.25">
      <c r="A7" s="197">
        <f>IF(B7="","",3)</f>
        <v>3</v>
      </c>
      <c r="B7" s="269" t="str">
        <f t="shared" si="0"/>
        <v>DO (1P)</v>
      </c>
      <c r="C7" s="270"/>
      <c r="D7" s="197" t="str">
        <f>IF(B7="","",VLOOKUP($B7,Before!$B$13:$Q$23,2,FALSE))</f>
        <v>MDO</v>
      </c>
      <c r="E7" s="198"/>
      <c r="F7" s="197">
        <f>IF(B7="","",VLOOKUP($B7,Before!$B$13:$Q$23,3,FALSE))</f>
        <v>54.85</v>
      </c>
      <c r="G7" s="199">
        <f t="shared" si="1"/>
        <v>46.622500000000002</v>
      </c>
      <c r="H7" s="199">
        <f>IF(B7="","",IF(D7="IFO",ROUND(VLOOKUP($B7,Before!$B$13:$Q$23,4,FALSE),2)&amp;" (U)",VLOOKUP($B7,Before!$B$13:$Q$23,4,FALSE)))</f>
        <v>2.27</v>
      </c>
      <c r="I7" s="199">
        <f>IF(B7="","",VLOOKUP($B7,Before!$B$13:$Q$23,5,FALSE))</f>
        <v>9.261000000000001</v>
      </c>
      <c r="J7" s="200">
        <f t="shared" si="2"/>
        <v>0.16884229717411123</v>
      </c>
      <c r="K7" s="271"/>
      <c r="L7" s="271"/>
      <c r="M7" s="199">
        <f>IF(B7="","",IF(D7="IFO",ROUND(VLOOKUP($B7,Before!$B$13:$Q$23,11,FALSE),2)&amp;" (U)",VLOOKUP($B7,Before!$B$13:$Q$23,11,FALSE)))</f>
        <v>6.0298192828533281</v>
      </c>
      <c r="N7" s="199">
        <f>IF(B7="","",VLOOKUP($B7,Before!$B$13:$Q$23,12,FALSE))</f>
        <v>45.002228971962616</v>
      </c>
      <c r="O7" s="200">
        <f t="shared" si="3"/>
        <v>0.82045996302575419</v>
      </c>
    </row>
    <row r="8" spans="1:15" x14ac:dyDescent="0.25">
      <c r="A8" s="197">
        <f>IF(B8="","",4)</f>
        <v>4</v>
      </c>
      <c r="B8" s="269" t="str">
        <f t="shared" si="0"/>
        <v>DO (1S)</v>
      </c>
      <c r="C8" s="270"/>
      <c r="D8" s="197" t="str">
        <f>IF(B8="","",VLOOKUP($B8,Before!$B$13:$Q$23,2,FALSE))</f>
        <v>MDO</v>
      </c>
      <c r="E8" s="198"/>
      <c r="F8" s="197">
        <f>IF(B8="","",VLOOKUP($B8,Before!$B$13:$Q$23,3,FALSE))</f>
        <v>54.85</v>
      </c>
      <c r="G8" s="199">
        <f t="shared" si="1"/>
        <v>46.622500000000002</v>
      </c>
      <c r="H8" s="199">
        <f>IF(B8="","",IF(D8="IFO",ROUND(VLOOKUP($B8,Before!$B$13:$Q$23,4,FALSE),2)&amp;" (U)",VLOOKUP($B8,Before!$B$13:$Q$23,4,FALSE)))</f>
        <v>2.44</v>
      </c>
      <c r="I8" s="199">
        <f>IF(B8="","",VLOOKUP($B8,Before!$B$13:$Q$23,5,FALSE))</f>
        <v>10.65</v>
      </c>
      <c r="J8" s="200">
        <f t="shared" si="2"/>
        <v>0.19416590701914313</v>
      </c>
      <c r="K8" s="271"/>
      <c r="L8" s="271"/>
      <c r="M8" s="199">
        <f>IF(B8="","",IF(D8="IFO",ROUND(VLOOKUP($B8,Before!$B$13:$Q$23,11,FALSE),2)&amp;" (U)",VLOOKUP($B8,Before!$B$13:$Q$23,11,FALSE)))</f>
        <v>6.0298192828533281</v>
      </c>
      <c r="N8" s="199">
        <f>IF(B8="","",VLOOKUP($B8,Before!$B$13:$Q$23,12,FALSE))</f>
        <v>45.002228971962616</v>
      </c>
      <c r="O8" s="200">
        <f t="shared" si="3"/>
        <v>0.82045996302575419</v>
      </c>
    </row>
    <row r="9" spans="1:15" x14ac:dyDescent="0.25">
      <c r="A9" s="197" t="str">
        <f>IF(B9="","",5)</f>
        <v/>
      </c>
      <c r="B9" s="269" t="str">
        <f t="shared" si="0"/>
        <v/>
      </c>
      <c r="C9" s="270"/>
      <c r="D9" s="197" t="str">
        <f>IF(B9="","",VLOOKUP($B9,Before!$B$13:$Q$23,2,FALSE))</f>
        <v/>
      </c>
      <c r="E9" s="201"/>
      <c r="F9" s="197" t="str">
        <f>IF(B9="","",VLOOKUP($B9,Before!$B$13:$Q$23,3,FALSE))</f>
        <v/>
      </c>
      <c r="G9" s="199" t="str">
        <f t="shared" si="1"/>
        <v/>
      </c>
      <c r="H9" s="199" t="str">
        <f>IF(B9="","",IF(D9="HSFO",ROUND(VLOOKUP($B9,Before!$B$13:$Q$23,4,FALSE),2)&amp;" (U)",VLOOKUP($B9,Before!$B$13:$Q$23,4,FALSE)))</f>
        <v/>
      </c>
      <c r="I9" s="199" t="str">
        <f>IF(B9="","",VLOOKUP($B9,Before!$B$13:$Q$23,5,FALSE))</f>
        <v/>
      </c>
      <c r="J9" s="200" t="str">
        <f t="shared" si="2"/>
        <v/>
      </c>
      <c r="K9" s="272"/>
      <c r="L9" s="272"/>
      <c r="M9" s="199" t="str">
        <f>IF(B9="","",IF(D9="HSFO",ROUND(VLOOKUP($B9,Before!$B$13:$Q$23,11,FALSE),2)&amp;" (U)",VLOOKUP($B9,Before!$B$13:$Q$23,11,FALSE)))</f>
        <v/>
      </c>
      <c r="N9" s="199" t="str">
        <f>IF(B9="","",VLOOKUP($B9,Before!$B$13:$Q$23,12,FALSE))</f>
        <v/>
      </c>
      <c r="O9" s="200" t="str">
        <f t="shared" si="3"/>
        <v/>
      </c>
    </row>
    <row r="10" spans="1:15" x14ac:dyDescent="0.25">
      <c r="A10" s="197" t="str">
        <f>IF(B10="","",6)</f>
        <v/>
      </c>
      <c r="B10" s="269" t="str">
        <f t="shared" si="0"/>
        <v/>
      </c>
      <c r="C10" s="270"/>
      <c r="D10" s="197" t="str">
        <f>IF(B10="","",VLOOKUP($B10,Before!$B$13:$Q$23,2,FALSE))</f>
        <v/>
      </c>
      <c r="E10" s="201"/>
      <c r="F10" s="197" t="str">
        <f>IF(B10="","",VLOOKUP($B10,Before!$B$13:$Q$23,3,FALSE))</f>
        <v/>
      </c>
      <c r="G10" s="199" t="str">
        <f t="shared" si="1"/>
        <v/>
      </c>
      <c r="H10" s="199" t="str">
        <f>IF(B10="","",IF(D10="HSFO",ROUND(VLOOKUP($B10,Before!$B$13:$Q$23,4,FALSE),2)&amp;" (U)",VLOOKUP($B10,Before!$B$13:$Q$23,4,FALSE)))</f>
        <v/>
      </c>
      <c r="I10" s="199" t="str">
        <f>IF(B10="","",VLOOKUP($B10,Before!$B$13:$Q$23,5,FALSE))</f>
        <v/>
      </c>
      <c r="J10" s="200" t="str">
        <f t="shared" si="2"/>
        <v/>
      </c>
      <c r="K10" s="272"/>
      <c r="L10" s="272"/>
      <c r="M10" s="199" t="str">
        <f>IF(B10="","",IF(D10="HSFO",ROUND(VLOOKUP($B10,Before!$B$13:$Q$23,11,FALSE),2)&amp;" (U)",VLOOKUP($B10,Before!$B$13:$Q$23,11,FALSE)))</f>
        <v/>
      </c>
      <c r="N10" s="199" t="str">
        <f>IF(B10="","",VLOOKUP($B10,Before!$B$13:$Q$23,12,FALSE))</f>
        <v/>
      </c>
      <c r="O10" s="200" t="str">
        <f t="shared" si="3"/>
        <v/>
      </c>
    </row>
    <row r="13" spans="1:15" ht="15.75" thickBot="1" x14ac:dyDescent="0.3">
      <c r="A13" s="183" t="s">
        <v>75</v>
      </c>
    </row>
    <row r="14" spans="1:15" ht="51.75" thickTop="1" x14ac:dyDescent="0.25">
      <c r="A14" s="202" t="s">
        <v>76</v>
      </c>
      <c r="B14" s="203" t="s">
        <v>34</v>
      </c>
      <c r="C14" s="203" t="s">
        <v>77</v>
      </c>
      <c r="D14" s="203" t="s">
        <v>78</v>
      </c>
      <c r="E14" s="203" t="s">
        <v>79</v>
      </c>
      <c r="F14" s="203" t="s">
        <v>80</v>
      </c>
      <c r="G14" s="204" t="s">
        <v>81</v>
      </c>
    </row>
    <row r="15" spans="1:15" x14ac:dyDescent="0.25">
      <c r="A15" s="197" t="str">
        <f t="shared" ref="A15:A20" si="4">IF(ISBLANK(B5),"",B5)</f>
        <v>FO (2P)</v>
      </c>
      <c r="B15" s="197" t="str">
        <f t="shared" ref="B15:B20" si="5">IF(B5="","",D5)</f>
        <v>IFO</v>
      </c>
      <c r="C15" s="205">
        <f t="shared" ref="C15:C20" si="6">IF(B5="","",F5)</f>
        <v>230.84</v>
      </c>
      <c r="D15" s="205">
        <f t="shared" ref="D15:D20" si="7">IF(B5="","",ROUND(I5,2))</f>
        <v>57.39</v>
      </c>
      <c r="E15" s="205">
        <f t="shared" ref="E15:E20" si="8">IF(B5="","",C15-D15)</f>
        <v>173.45</v>
      </c>
      <c r="F15" s="205">
        <f t="shared" ref="F15:F20" si="9">IF(B5="","",ROUND(N5-I5,2))</f>
        <v>127.52</v>
      </c>
      <c r="G15" s="205">
        <f t="shared" ref="G15:G20" si="10">IF(B5="","",D15+F15)</f>
        <v>184.91</v>
      </c>
    </row>
    <row r="16" spans="1:15" x14ac:dyDescent="0.25">
      <c r="A16" s="197" t="str">
        <f t="shared" si="4"/>
        <v>FO (2S)</v>
      </c>
      <c r="B16" s="197" t="str">
        <f t="shared" si="5"/>
        <v>IFO</v>
      </c>
      <c r="C16" s="205">
        <f t="shared" si="6"/>
        <v>230.84</v>
      </c>
      <c r="D16" s="205">
        <f t="shared" si="7"/>
        <v>53.15</v>
      </c>
      <c r="E16" s="205">
        <f t="shared" si="8"/>
        <v>177.69</v>
      </c>
      <c r="F16" s="205">
        <f t="shared" si="9"/>
        <v>131.76</v>
      </c>
      <c r="G16" s="205">
        <f t="shared" si="10"/>
        <v>184.91</v>
      </c>
    </row>
    <row r="17" spans="1:7" x14ac:dyDescent="0.25">
      <c r="A17" s="197" t="str">
        <f t="shared" si="4"/>
        <v>DO (1P)</v>
      </c>
      <c r="B17" s="197" t="str">
        <f t="shared" si="5"/>
        <v>MDO</v>
      </c>
      <c r="C17" s="205">
        <f t="shared" si="6"/>
        <v>54.85</v>
      </c>
      <c r="D17" s="205">
        <f t="shared" si="7"/>
        <v>9.26</v>
      </c>
      <c r="E17" s="205">
        <f t="shared" si="8"/>
        <v>45.59</v>
      </c>
      <c r="F17" s="205">
        <f t="shared" si="9"/>
        <v>35.74</v>
      </c>
      <c r="G17" s="205">
        <f t="shared" si="10"/>
        <v>45</v>
      </c>
    </row>
    <row r="18" spans="1:7" x14ac:dyDescent="0.25">
      <c r="A18" s="197" t="str">
        <f t="shared" si="4"/>
        <v>DO (1S)</v>
      </c>
      <c r="B18" s="197" t="str">
        <f t="shared" si="5"/>
        <v>MDO</v>
      </c>
      <c r="C18" s="205">
        <f t="shared" si="6"/>
        <v>54.85</v>
      </c>
      <c r="D18" s="205">
        <f t="shared" si="7"/>
        <v>10.65</v>
      </c>
      <c r="E18" s="205">
        <f t="shared" si="8"/>
        <v>44.2</v>
      </c>
      <c r="F18" s="205">
        <f t="shared" si="9"/>
        <v>34.35</v>
      </c>
      <c r="G18" s="205">
        <f t="shared" si="10"/>
        <v>45</v>
      </c>
    </row>
    <row r="19" spans="1:7" x14ac:dyDescent="0.25">
      <c r="A19" s="197" t="str">
        <f t="shared" si="4"/>
        <v/>
      </c>
      <c r="B19" s="197" t="str">
        <f t="shared" si="5"/>
        <v/>
      </c>
      <c r="C19" s="205" t="str">
        <f t="shared" si="6"/>
        <v/>
      </c>
      <c r="D19" s="205" t="str">
        <f t="shared" si="7"/>
        <v/>
      </c>
      <c r="E19" s="205" t="str">
        <f t="shared" si="8"/>
        <v/>
      </c>
      <c r="F19" s="205" t="str">
        <f t="shared" si="9"/>
        <v/>
      </c>
      <c r="G19" s="205" t="str">
        <f t="shared" si="10"/>
        <v/>
      </c>
    </row>
    <row r="20" spans="1:7" x14ac:dyDescent="0.25">
      <c r="A20" s="197" t="str">
        <f t="shared" si="4"/>
        <v/>
      </c>
      <c r="B20" s="197" t="str">
        <f t="shared" si="5"/>
        <v/>
      </c>
      <c r="C20" s="205" t="str">
        <f t="shared" si="6"/>
        <v/>
      </c>
      <c r="D20" s="205" t="str">
        <f t="shared" si="7"/>
        <v/>
      </c>
      <c r="E20" s="205" t="str">
        <f t="shared" si="8"/>
        <v/>
      </c>
      <c r="F20" s="205" t="str">
        <f t="shared" si="9"/>
        <v/>
      </c>
      <c r="G20" s="205" t="str">
        <f t="shared" si="10"/>
        <v/>
      </c>
    </row>
    <row r="21" spans="1:7" x14ac:dyDescent="0.25">
      <c r="B21" s="206"/>
      <c r="C21" s="206"/>
      <c r="D21" s="207"/>
      <c r="E21" s="207"/>
      <c r="F21" s="207"/>
      <c r="G21" s="207"/>
    </row>
    <row r="22" spans="1:7" ht="15.75" thickBot="1" x14ac:dyDescent="0.3"/>
    <row r="23" spans="1:7" ht="39.75" thickTop="1" thickBot="1" x14ac:dyDescent="0.3">
      <c r="A23" s="208" t="s">
        <v>82</v>
      </c>
      <c r="B23" s="208" t="s">
        <v>83</v>
      </c>
      <c r="C23" s="208" t="s">
        <v>84</v>
      </c>
      <c r="D23" s="208" t="s">
        <v>85</v>
      </c>
      <c r="E23" s="209" t="s">
        <v>86</v>
      </c>
    </row>
    <row r="24" spans="1:7" ht="19.899999999999999" customHeight="1" thickBot="1" x14ac:dyDescent="0.3">
      <c r="A24" s="210" t="str">
        <f>Before!E8 &amp; " MT"</f>
        <v>250 MT</v>
      </c>
      <c r="B24" s="211" t="str">
        <f>ROUND(Before!P17,2) &amp; " m³"</f>
        <v>259.28 m³</v>
      </c>
      <c r="C24" s="212" t="str">
        <f>Before!I8&amp; "°C"</f>
        <v>45°C</v>
      </c>
      <c r="D24" s="212" t="s">
        <v>93</v>
      </c>
      <c r="E24" s="213" t="s">
        <v>92</v>
      </c>
    </row>
    <row r="25" spans="1:7" ht="19.899999999999999" customHeight="1" thickBot="1" x14ac:dyDescent="0.3">
      <c r="A25" s="214" t="str">
        <f>Before!E9 &amp; " MT"</f>
        <v>60 MT</v>
      </c>
      <c r="B25" s="215" t="str">
        <f>ROUND(Before!P24,2) &amp; " m³"</f>
        <v>70.09 m³</v>
      </c>
      <c r="C25" s="216" t="str">
        <f>Before!C5 &amp; "°C"</f>
        <v>19°C</v>
      </c>
      <c r="D25" s="216" t="s">
        <v>94</v>
      </c>
      <c r="E25" s="217" t="s">
        <v>92</v>
      </c>
    </row>
    <row r="26" spans="1:7" ht="15.75" thickTop="1" x14ac:dyDescent="0.25"/>
  </sheetData>
  <sheetProtection sheet="1" objects="1" scenarios="1"/>
  <mergeCells count="18">
    <mergeCell ref="K4:L4"/>
    <mergeCell ref="H2:J2"/>
    <mergeCell ref="K2:L2"/>
    <mergeCell ref="M2:O2"/>
    <mergeCell ref="B3:C3"/>
    <mergeCell ref="K3:L3"/>
    <mergeCell ref="B5:C5"/>
    <mergeCell ref="K5:L5"/>
    <mergeCell ref="B6:C6"/>
    <mergeCell ref="K6:L6"/>
    <mergeCell ref="B7:C7"/>
    <mergeCell ref="K7:L7"/>
    <mergeCell ref="B8:C8"/>
    <mergeCell ref="K8:L8"/>
    <mergeCell ref="B9:C9"/>
    <mergeCell ref="K9:L9"/>
    <mergeCell ref="B10:C10"/>
    <mergeCell ref="K10:L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1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2">
        <v>0.16</v>
      </c>
      <c r="C2" s="2">
        <v>0.11</v>
      </c>
      <c r="D2" s="2">
        <v>0.13</v>
      </c>
      <c r="E2" s="2">
        <v>0.17</v>
      </c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2">
        <v>0.39</v>
      </c>
      <c r="C3" s="2">
        <v>0.37</v>
      </c>
      <c r="D3" s="2">
        <v>0.36</v>
      </c>
      <c r="E3" s="2">
        <v>0.36</v>
      </c>
      <c r="J3" s="6">
        <v>10.268000000000001</v>
      </c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2">
        <v>0.68</v>
      </c>
      <c r="C4" s="2">
        <v>0.63</v>
      </c>
      <c r="D4" s="2">
        <v>0.59</v>
      </c>
      <c r="E4" s="2">
        <v>0.56000000000000005</v>
      </c>
      <c r="K4" s="2"/>
      <c r="L4" s="2">
        <f>IF(O8=0.05,L5,L5-O8)</f>
        <v>7.95</v>
      </c>
      <c r="M4" s="2">
        <f>VLOOKUP(ROUNDDOWN(L4,2),A:F,MATCH(M3,B1:F1,0)+1,FALSE)</f>
        <v>109.39</v>
      </c>
      <c r="N4" s="2">
        <f>IF(($O$3-$M$3)&gt;0,M4+(($N$3-$M$3)*(O4-M4)/($O$3-$M$3)),M4)</f>
        <v>109.28999999999999</v>
      </c>
      <c r="O4" s="2">
        <f>VLOOKUP(ROUNDDOWN($L$4,2),A:F,MATCH(O$3,B1:F1,0)+1,FALSE)</f>
        <v>109.19</v>
      </c>
    </row>
    <row r="5" spans="1:16" x14ac:dyDescent="0.2">
      <c r="A5" s="2">
        <v>0.15</v>
      </c>
      <c r="B5" s="2">
        <v>0.96</v>
      </c>
      <c r="C5" s="2">
        <v>0.88</v>
      </c>
      <c r="D5" s="2">
        <v>0.82</v>
      </c>
      <c r="E5" s="2">
        <v>0.76</v>
      </c>
      <c r="K5" s="2"/>
      <c r="L5" s="6">
        <f>ROUND(J3-Before!E13,3)</f>
        <v>7.9980000000000002</v>
      </c>
      <c r="M5" s="1" t="s">
        <v>1</v>
      </c>
      <c r="N5" s="2">
        <f>IF(($L$6-$L$4)&gt;0,N4+(($L$5-$L$4)*(N6-N4)/0.05),N4)</f>
        <v>109.986</v>
      </c>
      <c r="O5" s="1" t="s">
        <v>2</v>
      </c>
    </row>
    <row r="6" spans="1:16" x14ac:dyDescent="0.2">
      <c r="A6" s="2">
        <v>0.2</v>
      </c>
      <c r="B6" s="2">
        <v>1.24</v>
      </c>
      <c r="C6" s="2">
        <v>1.1399999999999999</v>
      </c>
      <c r="D6" s="2">
        <v>1.05</v>
      </c>
      <c r="E6" s="2">
        <v>0.95</v>
      </c>
      <c r="K6" s="2"/>
      <c r="L6" s="2">
        <f>IF(OR(O8=0.05,O8=0),L5,L5+(0.05-O8))</f>
        <v>8</v>
      </c>
      <c r="M6" s="2">
        <f>VLOOKUP(ROUND($L6,2),A:F,MATCH($M$3,B1:F1,0)+1,FALSE)</f>
        <v>110.12</v>
      </c>
      <c r="N6" s="2">
        <f>IF(($O$3-$M$3)&gt;0,M6+(($N$3-$M$3)*(O6-M6)/($O$3-$M$3)),M6)</f>
        <v>110.015</v>
      </c>
      <c r="O6" s="2">
        <f>VLOOKUP(ROUNDDOWN($L$6,2),A:F,MATCH($O$3,B1:F1,0)+1,FALSE)</f>
        <v>109.91</v>
      </c>
    </row>
    <row r="7" spans="1:16" x14ac:dyDescent="0.2">
      <c r="A7" s="2">
        <v>0.25</v>
      </c>
      <c r="B7" s="2">
        <v>1.53</v>
      </c>
      <c r="C7" s="2">
        <v>1.41</v>
      </c>
      <c r="D7" s="2">
        <v>1.34</v>
      </c>
      <c r="E7" s="2">
        <v>1.28</v>
      </c>
      <c r="K7" s="2"/>
      <c r="L7" s="2"/>
      <c r="M7" s="2"/>
      <c r="N7" s="2"/>
    </row>
    <row r="8" spans="1:16" x14ac:dyDescent="0.2">
      <c r="A8" s="2">
        <v>0.3</v>
      </c>
      <c r="B8" s="2">
        <v>1.92</v>
      </c>
      <c r="C8" s="2">
        <v>1.83</v>
      </c>
      <c r="D8" s="2">
        <v>1.74</v>
      </c>
      <c r="E8" s="2">
        <v>1.66</v>
      </c>
      <c r="K8" s="2"/>
      <c r="L8" s="2"/>
      <c r="M8" s="6">
        <f>(L5-INT(L5))*10</f>
        <v>9.9800000000000022</v>
      </c>
      <c r="N8" s="6">
        <f>ROUND((M8-INT(M8))*10,5)</f>
        <v>9.8000000000000007</v>
      </c>
      <c r="O8" s="6">
        <f>IF(N8&gt;5,(N8-5)/100,N8/100)</f>
        <v>4.8000000000000008E-2</v>
      </c>
    </row>
    <row r="9" spans="1:16" x14ac:dyDescent="0.2">
      <c r="A9" s="2">
        <v>0.35</v>
      </c>
      <c r="B9" s="2">
        <v>2.35</v>
      </c>
      <c r="C9" s="2">
        <v>2.2400000000000002</v>
      </c>
      <c r="D9" s="2">
        <v>2.14</v>
      </c>
      <c r="E9" s="2">
        <v>2.04</v>
      </c>
      <c r="K9" s="2"/>
      <c r="L9" s="2"/>
    </row>
    <row r="10" spans="1:16" x14ac:dyDescent="0.2">
      <c r="A10" s="2">
        <v>0.4</v>
      </c>
      <c r="B10" s="2">
        <v>2.77</v>
      </c>
      <c r="C10" s="2">
        <v>2.66</v>
      </c>
      <c r="D10" s="2">
        <v>2.54</v>
      </c>
      <c r="E10" s="2">
        <v>2.4300000000000002</v>
      </c>
      <c r="K10" s="2"/>
      <c r="L10" s="2"/>
      <c r="N10" s="2"/>
    </row>
    <row r="11" spans="1:16" ht="15" x14ac:dyDescent="0.25">
      <c r="A11" s="2">
        <v>0.45</v>
      </c>
      <c r="B11" s="2">
        <v>3.2</v>
      </c>
      <c r="C11" s="2">
        <v>3.07</v>
      </c>
      <c r="D11" s="2">
        <v>2.94</v>
      </c>
      <c r="E11" s="2">
        <v>2.81</v>
      </c>
      <c r="K11" s="2"/>
      <c r="L11" s="219"/>
      <c r="M11" s="219">
        <v>0</v>
      </c>
      <c r="N11" s="219">
        <v>1</v>
      </c>
      <c r="O11" s="220">
        <v>2</v>
      </c>
      <c r="P11" s="4">
        <v>3</v>
      </c>
    </row>
    <row r="12" spans="1:16" ht="15" x14ac:dyDescent="0.25">
      <c r="A12" s="2">
        <v>0.5</v>
      </c>
      <c r="B12" s="2">
        <v>3.63</v>
      </c>
      <c r="C12" s="2">
        <v>3.49</v>
      </c>
      <c r="D12" s="2">
        <v>3.38</v>
      </c>
      <c r="E12" s="2">
        <v>3.27</v>
      </c>
      <c r="K12" s="2"/>
      <c r="L12" s="219"/>
      <c r="M12" s="219">
        <f>LOOKUP(N15,B:B,A:A)</f>
        <v>7.95</v>
      </c>
      <c r="N12" s="219">
        <f>LOOKUP($N$15,C:C,$A:$A)</f>
        <v>7.95</v>
      </c>
      <c r="O12" s="219">
        <f>LOOKUP($N$15,D:D,$A:$A)</f>
        <v>7.95</v>
      </c>
      <c r="P12" s="219">
        <f>LOOKUP($N$15,E:E,$A:$A)</f>
        <v>8</v>
      </c>
    </row>
    <row r="13" spans="1:16" ht="15" x14ac:dyDescent="0.25">
      <c r="A13" s="2">
        <v>0.55000000000000004</v>
      </c>
      <c r="B13" s="2">
        <v>4.13</v>
      </c>
      <c r="C13" s="2">
        <v>4</v>
      </c>
      <c r="D13" s="2">
        <v>3.88</v>
      </c>
      <c r="E13" s="2">
        <v>3.76</v>
      </c>
      <c r="K13" s="2"/>
      <c r="L13" s="219"/>
      <c r="M13" s="219">
        <f>INT(N13)</f>
        <v>2</v>
      </c>
      <c r="N13" s="219">
        <f>Before!O8</f>
        <v>2</v>
      </c>
      <c r="O13" s="219">
        <f>IF(M13=N13,N13,M13+1)</f>
        <v>2</v>
      </c>
    </row>
    <row r="14" spans="1:16" ht="15" x14ac:dyDescent="0.25">
      <c r="A14" s="2">
        <v>0.6</v>
      </c>
      <c r="B14" s="2">
        <v>4.6500000000000004</v>
      </c>
      <c r="C14" s="2">
        <v>4.51</v>
      </c>
      <c r="D14" s="2">
        <v>4.38</v>
      </c>
      <c r="E14" s="2">
        <v>4.25</v>
      </c>
      <c r="K14" s="2"/>
      <c r="L14">
        <f>HLOOKUP(M$13,$M$11:$P$12,2,FALSE)</f>
        <v>7.95</v>
      </c>
      <c r="M14" s="219">
        <f>VLOOKUP(ROUNDDOWN(L14,2),A:F,MATCH(M13,B1:F1,0)+1,FALSE)</f>
        <v>109.39</v>
      </c>
      <c r="N14" s="219">
        <f>IF(($O$13-$M$13)&gt;0,M14+(($N$13-$M$13)*(O14-M14)/($O$13-$M$13)),M14)</f>
        <v>109.39</v>
      </c>
      <c r="O14" s="219">
        <f>VLOOKUP(ROUNDDOWN(L14,2),A:F,MATCH(O$13,B1:F1,0)+1,FALSE)</f>
        <v>109.39</v>
      </c>
    </row>
    <row r="15" spans="1:16" ht="15" x14ac:dyDescent="0.25">
      <c r="A15" s="2">
        <v>0.65</v>
      </c>
      <c r="B15" s="2">
        <v>5.17</v>
      </c>
      <c r="C15" s="2">
        <v>5.03</v>
      </c>
      <c r="D15" s="2">
        <v>4.88</v>
      </c>
      <c r="E15" s="2">
        <v>4.74</v>
      </c>
      <c r="K15" s="6">
        <f>J3-L15</f>
        <v>2.2771780821917815</v>
      </c>
      <c r="L15" s="221">
        <f>L14+((N15-N14)*ABS(L16-L14))/(N16-N14)</f>
        <v>7.9908219178082192</v>
      </c>
      <c r="M15" s="222" t="s">
        <v>97</v>
      </c>
      <c r="N15" s="219">
        <f>Before!M13</f>
        <v>109.986</v>
      </c>
      <c r="O15" s="222" t="s">
        <v>98</v>
      </c>
    </row>
    <row r="16" spans="1:16" ht="15" x14ac:dyDescent="0.25">
      <c r="A16" s="2">
        <v>0.7</v>
      </c>
      <c r="B16" s="2">
        <v>5.7</v>
      </c>
      <c r="C16" s="2">
        <v>5.54</v>
      </c>
      <c r="D16" s="2">
        <v>5.39</v>
      </c>
      <c r="E16" s="2">
        <v>5.23</v>
      </c>
      <c r="L16" s="219">
        <f>IF(N15&gt;M14,L14+0.05,L14-0.05)</f>
        <v>8</v>
      </c>
      <c r="M16" s="219">
        <f>VLOOKUP(ROUNDDOWN(L16,2),A:F,MATCH(M13,B1:F1,0)+1,FALSE)</f>
        <v>110.12</v>
      </c>
      <c r="N16" s="219">
        <f>IF(($O$13-$M$13)&gt;0,M16+(($N$13-$M$13)*(O16-M16)/($O$13-$M$13)),M16)</f>
        <v>110.12</v>
      </c>
      <c r="O16" s="219">
        <f>VLOOKUP(ROUNDDOWN(L16,2),A:F,MATCH(O$13,B1:F1,0)+1,FALSE)</f>
        <v>110.12</v>
      </c>
    </row>
    <row r="17" spans="1:15" ht="15" x14ac:dyDescent="0.25">
      <c r="A17" s="2">
        <v>0.75</v>
      </c>
      <c r="B17" s="2">
        <v>6.22</v>
      </c>
      <c r="C17" s="2">
        <v>6.05</v>
      </c>
      <c r="D17" s="2">
        <v>5.91</v>
      </c>
      <c r="E17" s="2">
        <v>5.78</v>
      </c>
      <c r="L17" s="219"/>
      <c r="M17"/>
      <c r="N17" s="219"/>
      <c r="O17"/>
    </row>
    <row r="18" spans="1:15" ht="15" x14ac:dyDescent="0.25">
      <c r="A18" s="2">
        <v>0.8</v>
      </c>
      <c r="B18" s="2">
        <v>6.79</v>
      </c>
      <c r="C18" s="2">
        <v>6.64</v>
      </c>
      <c r="D18" s="2">
        <v>6.49</v>
      </c>
      <c r="E18" s="2">
        <v>6.34</v>
      </c>
      <c r="L18" s="219"/>
      <c r="M18" s="219"/>
      <c r="N18" s="219"/>
      <c r="O18" s="219"/>
    </row>
    <row r="19" spans="1:15" x14ac:dyDescent="0.2">
      <c r="A19" s="2">
        <v>0.85</v>
      </c>
      <c r="B19" s="2">
        <v>7.37</v>
      </c>
      <c r="C19" s="2">
        <v>7.22</v>
      </c>
      <c r="D19" s="2">
        <v>7.06</v>
      </c>
      <c r="E19" s="2">
        <v>6.91</v>
      </c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2">
        <v>7.96</v>
      </c>
      <c r="C20" s="2">
        <v>7.8</v>
      </c>
      <c r="D20" s="2">
        <v>7.63</v>
      </c>
      <c r="E20" s="2">
        <v>7.47</v>
      </c>
      <c r="L20" s="2">
        <f>IF(O24=0.05,L21,L21-O24)</f>
        <v>8.75</v>
      </c>
      <c r="M20" s="2">
        <f>VLOOKUP(ROUNDDOWN(L20,2),A:F,MATCH(M19,B1:F1,0)+1,FALSE)</f>
        <v>121.09</v>
      </c>
      <c r="N20" s="2">
        <f>IF(($O$19-$M$19)&gt;0,M20+(($N$19-$M$19)*(O20-M20)/($O$19-$M$19)),M20)</f>
        <v>121.09</v>
      </c>
      <c r="O20" s="2">
        <f>VLOOKUP(ROUNDDOWN($L$20,2),A:F,MATCH(O$19,B1:F1,0)+1,FALSE)</f>
        <v>121.09</v>
      </c>
    </row>
    <row r="21" spans="1:15" x14ac:dyDescent="0.2">
      <c r="A21" s="2">
        <v>0.95</v>
      </c>
      <c r="B21" s="2">
        <v>8.5500000000000007</v>
      </c>
      <c r="C21" s="2">
        <v>8.3800000000000008</v>
      </c>
      <c r="D21" s="2">
        <v>8.2100000000000009</v>
      </c>
      <c r="E21" s="2">
        <v>8.0399999999999991</v>
      </c>
      <c r="L21" s="6">
        <f>ROUND(J3-After!L4,3)</f>
        <v>8.7680000000000007</v>
      </c>
      <c r="M21" s="1" t="s">
        <v>1</v>
      </c>
      <c r="N21" s="2">
        <f>IF(($L$22-$L$20)&gt;0,N20+(($L$21-$L$20)*(N22-N20)/0.05),N20)</f>
        <v>121.35640000000001</v>
      </c>
      <c r="O21" s="1" t="s">
        <v>2</v>
      </c>
    </row>
    <row r="22" spans="1:15" x14ac:dyDescent="0.2">
      <c r="A22" s="2">
        <v>1</v>
      </c>
      <c r="B22" s="2">
        <v>9.1300000000000008</v>
      </c>
      <c r="C22" s="2">
        <v>8.9600000000000009</v>
      </c>
      <c r="D22" s="2">
        <v>8.8000000000000007</v>
      </c>
      <c r="E22" s="2">
        <v>8.64</v>
      </c>
      <c r="L22" s="2">
        <f>IF(OR(O24=0.05,O24=0),L21,L21+(0.05-O24))</f>
        <v>8.8000000000000007</v>
      </c>
      <c r="M22" s="2">
        <f>VLOOKUP(ROUND($L22,2),A:F,MATCH($M$19,B1:F1,0)+1,FALSE)</f>
        <v>121.83</v>
      </c>
      <c r="N22" s="2">
        <f>IF(($O$19-$M$19)&gt;0,M22+(($N$19-$M$19)*(O22-M22)/($O$3-$M$19)),M22)</f>
        <v>121.83</v>
      </c>
      <c r="O22" s="2">
        <f>VLOOKUP(ROUNDDOWN($L$22,2),A:F,MATCH($O$19,B1:F1,0)+1,FALSE)</f>
        <v>121.83</v>
      </c>
    </row>
    <row r="23" spans="1:15" x14ac:dyDescent="0.2">
      <c r="A23" s="2">
        <v>1.05</v>
      </c>
      <c r="B23" s="2">
        <v>9.76</v>
      </c>
      <c r="C23" s="2">
        <v>9.59</v>
      </c>
      <c r="D23" s="2">
        <v>9.42</v>
      </c>
      <c r="E23" s="2">
        <v>9.26</v>
      </c>
      <c r="L23" s="2"/>
      <c r="M23" s="2"/>
      <c r="N23" s="2"/>
    </row>
    <row r="24" spans="1:15" x14ac:dyDescent="0.2">
      <c r="A24" s="2">
        <v>1.1000000000000001</v>
      </c>
      <c r="B24" s="2">
        <v>10.39</v>
      </c>
      <c r="C24" s="2">
        <v>10.220000000000001</v>
      </c>
      <c r="D24" s="2">
        <v>10.050000000000001</v>
      </c>
      <c r="E24" s="2">
        <v>9.8800000000000008</v>
      </c>
      <c r="L24" s="2"/>
      <c r="M24" s="6">
        <f>(L21-INT(L21))*10</f>
        <v>7.6800000000000068</v>
      </c>
      <c r="N24" s="6">
        <f>ROUND((M24-INT(M24))*10,5)</f>
        <v>6.8</v>
      </c>
      <c r="O24" s="6">
        <f>IF(N24&gt;5,(N24-5)/100,N24/100)</f>
        <v>1.7999999999999999E-2</v>
      </c>
    </row>
    <row r="25" spans="1:15" ht="15" x14ac:dyDescent="0.25">
      <c r="A25" s="2">
        <v>1.1499999999999999</v>
      </c>
      <c r="B25" s="2">
        <v>11.03</v>
      </c>
      <c r="C25" s="2">
        <v>10.85</v>
      </c>
      <c r="D25" s="2">
        <v>10.68</v>
      </c>
      <c r="E25" s="2">
        <v>10.5</v>
      </c>
      <c r="L25" s="219"/>
      <c r="M25"/>
      <c r="N25" s="219"/>
      <c r="O25"/>
    </row>
    <row r="26" spans="1:15" ht="15" x14ac:dyDescent="0.25">
      <c r="A26" s="2">
        <v>1.2</v>
      </c>
      <c r="B26" s="2">
        <v>11.67</v>
      </c>
      <c r="C26" s="2">
        <v>11.49</v>
      </c>
      <c r="D26" s="2">
        <v>11.3</v>
      </c>
      <c r="E26" s="2">
        <v>11.12</v>
      </c>
      <c r="L26" s="219"/>
      <c r="M26" s="219"/>
      <c r="N26" s="219"/>
      <c r="O26" s="219"/>
    </row>
    <row r="27" spans="1:15" x14ac:dyDescent="0.2">
      <c r="A27" s="2">
        <v>1.25</v>
      </c>
      <c r="B27" s="2">
        <v>12.31</v>
      </c>
      <c r="C27" s="2">
        <v>12.12</v>
      </c>
      <c r="D27" s="2">
        <v>11.94</v>
      </c>
      <c r="E27" s="2">
        <v>11.77</v>
      </c>
    </row>
    <row r="28" spans="1:15" x14ac:dyDescent="0.2">
      <c r="A28" s="2">
        <v>1.3</v>
      </c>
      <c r="B28" s="2">
        <v>12.97</v>
      </c>
      <c r="C28" s="2">
        <v>12.79</v>
      </c>
      <c r="D28" s="2">
        <v>12.61</v>
      </c>
      <c r="E28" s="2">
        <v>12.43</v>
      </c>
    </row>
    <row r="29" spans="1:15" x14ac:dyDescent="0.2">
      <c r="A29" s="2">
        <v>1.35</v>
      </c>
      <c r="B29" s="2">
        <v>13.65</v>
      </c>
      <c r="C29" s="2">
        <v>13.47</v>
      </c>
      <c r="D29" s="2">
        <v>13.28</v>
      </c>
      <c r="E29" s="2">
        <v>13.1</v>
      </c>
    </row>
    <row r="30" spans="1:15" x14ac:dyDescent="0.2">
      <c r="A30" s="2">
        <v>1.4</v>
      </c>
      <c r="B30" s="2">
        <v>14.33</v>
      </c>
      <c r="C30" s="2">
        <v>14.14</v>
      </c>
      <c r="D30" s="2">
        <v>13.95</v>
      </c>
      <c r="E30" s="2">
        <v>13.77</v>
      </c>
    </row>
    <row r="31" spans="1:15" x14ac:dyDescent="0.2">
      <c r="A31" s="2">
        <v>1.45</v>
      </c>
      <c r="B31" s="2">
        <v>15</v>
      </c>
      <c r="C31" s="2">
        <v>14.81</v>
      </c>
      <c r="D31" s="2">
        <v>14.62</v>
      </c>
      <c r="E31" s="2">
        <v>14.43</v>
      </c>
    </row>
    <row r="32" spans="1:15" x14ac:dyDescent="0.2">
      <c r="A32" s="2">
        <v>1.5</v>
      </c>
      <c r="B32" s="2">
        <v>15.68</v>
      </c>
      <c r="C32" s="2">
        <v>15.49</v>
      </c>
      <c r="D32" s="2">
        <v>15.3</v>
      </c>
      <c r="E32" s="2">
        <v>15.11</v>
      </c>
      <c r="K32" s="2"/>
      <c r="L32" s="2"/>
    </row>
    <row r="33" spans="1:12" x14ac:dyDescent="0.2">
      <c r="A33" s="2">
        <v>1.55</v>
      </c>
      <c r="B33" s="2">
        <v>16.38</v>
      </c>
      <c r="C33" s="2">
        <v>16.190000000000001</v>
      </c>
      <c r="D33" s="2">
        <v>16</v>
      </c>
      <c r="E33" s="2">
        <v>15.81</v>
      </c>
      <c r="K33" s="2"/>
      <c r="L33" s="2"/>
    </row>
    <row r="34" spans="1:12" x14ac:dyDescent="0.2">
      <c r="A34" s="2">
        <v>1.6</v>
      </c>
      <c r="B34" s="2">
        <v>17.079999999999998</v>
      </c>
      <c r="C34" s="2">
        <v>16.89</v>
      </c>
      <c r="D34" s="2">
        <v>16.690000000000001</v>
      </c>
      <c r="E34" s="2">
        <v>16.5</v>
      </c>
      <c r="K34" s="2"/>
      <c r="L34" s="2"/>
    </row>
    <row r="35" spans="1:12" x14ac:dyDescent="0.2">
      <c r="A35" s="2">
        <v>1.65</v>
      </c>
      <c r="B35" s="2">
        <v>17.78</v>
      </c>
      <c r="C35" s="2">
        <v>17.59</v>
      </c>
      <c r="D35" s="2">
        <v>17.39</v>
      </c>
      <c r="E35" s="2">
        <v>17.2</v>
      </c>
      <c r="K35" s="2"/>
      <c r="L35" s="2"/>
    </row>
    <row r="36" spans="1:12" x14ac:dyDescent="0.2">
      <c r="A36" s="2">
        <v>1.7</v>
      </c>
      <c r="B36" s="2">
        <v>18.489999999999998</v>
      </c>
      <c r="C36" s="2">
        <v>18.29</v>
      </c>
      <c r="D36" s="2">
        <v>18.09</v>
      </c>
      <c r="E36" s="2">
        <v>17.89</v>
      </c>
      <c r="K36" s="2"/>
      <c r="L36" s="2"/>
    </row>
    <row r="37" spans="1:12" x14ac:dyDescent="0.2">
      <c r="A37" s="2">
        <v>1.75</v>
      </c>
      <c r="B37" s="2">
        <v>19.190000000000001</v>
      </c>
      <c r="C37" s="2">
        <v>18.989999999999998</v>
      </c>
      <c r="D37" s="2">
        <v>18.8</v>
      </c>
      <c r="E37" s="2">
        <v>18.600000000000001</v>
      </c>
      <c r="K37" s="2"/>
      <c r="L37" s="2"/>
    </row>
    <row r="38" spans="1:12" x14ac:dyDescent="0.2">
      <c r="A38" s="2">
        <v>1.8</v>
      </c>
      <c r="B38" s="2">
        <v>19.91</v>
      </c>
      <c r="C38" s="2">
        <v>19.71</v>
      </c>
      <c r="D38" s="2">
        <v>19.510000000000002</v>
      </c>
      <c r="E38" s="2">
        <v>19.32</v>
      </c>
      <c r="K38" s="2"/>
      <c r="L38" s="2"/>
    </row>
    <row r="39" spans="1:12" x14ac:dyDescent="0.2">
      <c r="A39" s="2">
        <v>1.85</v>
      </c>
      <c r="B39" s="2">
        <v>20.63</v>
      </c>
      <c r="C39" s="2">
        <v>20.43</v>
      </c>
      <c r="D39" s="2">
        <v>20.23</v>
      </c>
      <c r="E39" s="2">
        <v>20.03</v>
      </c>
      <c r="K39" s="2"/>
      <c r="L39" s="2"/>
    </row>
    <row r="40" spans="1:12" x14ac:dyDescent="0.2">
      <c r="A40" s="2">
        <v>1.9</v>
      </c>
      <c r="B40" s="2">
        <v>21.35</v>
      </c>
      <c r="C40" s="2">
        <v>21.15</v>
      </c>
      <c r="D40" s="2">
        <v>20.95</v>
      </c>
      <c r="E40" s="2">
        <v>20.75</v>
      </c>
      <c r="K40" s="2"/>
      <c r="L40" s="2"/>
    </row>
    <row r="41" spans="1:12" x14ac:dyDescent="0.2">
      <c r="A41" s="2">
        <v>1.95</v>
      </c>
      <c r="B41" s="2">
        <v>22.07</v>
      </c>
      <c r="C41" s="2">
        <v>21.87</v>
      </c>
      <c r="D41" s="2">
        <v>21.67</v>
      </c>
      <c r="E41" s="2">
        <v>21.47</v>
      </c>
      <c r="K41" s="2"/>
      <c r="L41" s="2"/>
    </row>
    <row r="42" spans="1:12" x14ac:dyDescent="0.2">
      <c r="A42" s="2">
        <v>2</v>
      </c>
      <c r="B42" s="2">
        <v>22.79</v>
      </c>
      <c r="C42" s="2">
        <v>22.59</v>
      </c>
      <c r="D42" s="2">
        <v>22.39</v>
      </c>
      <c r="E42" s="2">
        <v>22.19</v>
      </c>
      <c r="K42" s="2"/>
      <c r="L42" s="2"/>
    </row>
    <row r="43" spans="1:12" x14ac:dyDescent="0.2">
      <c r="A43" s="2">
        <v>2.0499999999999998</v>
      </c>
      <c r="B43" s="2">
        <v>23.51</v>
      </c>
      <c r="C43" s="2">
        <v>23.31</v>
      </c>
      <c r="D43" s="2">
        <v>23.11</v>
      </c>
      <c r="E43" s="2">
        <v>22.91</v>
      </c>
      <c r="K43" s="2"/>
      <c r="L43" s="2"/>
    </row>
    <row r="44" spans="1:12" x14ac:dyDescent="0.2">
      <c r="A44" s="2">
        <v>2.1</v>
      </c>
      <c r="B44" s="2">
        <v>24.24</v>
      </c>
      <c r="C44" s="2">
        <v>24.04</v>
      </c>
      <c r="D44" s="2">
        <v>23.84</v>
      </c>
      <c r="E44" s="2">
        <v>23.64</v>
      </c>
      <c r="K44" s="2"/>
      <c r="L44" s="2"/>
    </row>
    <row r="45" spans="1:12" x14ac:dyDescent="0.2">
      <c r="A45" s="2">
        <v>2.15</v>
      </c>
      <c r="B45" s="2">
        <v>24.97</v>
      </c>
      <c r="C45" s="2">
        <v>24.77</v>
      </c>
      <c r="D45" s="2">
        <v>24.56</v>
      </c>
      <c r="E45" s="2">
        <v>24.36</v>
      </c>
      <c r="K45" s="2"/>
      <c r="L45" s="2"/>
    </row>
    <row r="46" spans="1:12" x14ac:dyDescent="0.2">
      <c r="A46" s="2">
        <v>2.2000000000000002</v>
      </c>
      <c r="B46" s="2">
        <v>25.7</v>
      </c>
      <c r="C46" s="2">
        <v>25.49</v>
      </c>
      <c r="D46" s="2">
        <v>25.29</v>
      </c>
      <c r="E46" s="2">
        <v>25.09</v>
      </c>
      <c r="K46" s="2"/>
      <c r="L46" s="2"/>
    </row>
    <row r="47" spans="1:12" x14ac:dyDescent="0.2">
      <c r="A47" s="2">
        <v>2.25</v>
      </c>
      <c r="B47" s="2">
        <v>26.42</v>
      </c>
      <c r="C47" s="2">
        <v>26.22</v>
      </c>
      <c r="D47" s="2">
        <v>26.02</v>
      </c>
      <c r="E47" s="2">
        <v>25.82</v>
      </c>
      <c r="K47" s="2"/>
      <c r="L47" s="2"/>
    </row>
    <row r="48" spans="1:12" x14ac:dyDescent="0.2">
      <c r="A48" s="2">
        <v>2.2999999999999998</v>
      </c>
      <c r="B48" s="2">
        <v>27.15</v>
      </c>
      <c r="C48" s="2">
        <v>26.95</v>
      </c>
      <c r="D48" s="2">
        <v>26.75</v>
      </c>
      <c r="E48" s="2">
        <v>26.55</v>
      </c>
      <c r="K48" s="2"/>
      <c r="L48" s="2"/>
    </row>
    <row r="49" spans="1:12" x14ac:dyDescent="0.2">
      <c r="A49" s="2">
        <v>2.35</v>
      </c>
      <c r="B49" s="2">
        <v>27.88</v>
      </c>
      <c r="C49" s="2">
        <v>27.68</v>
      </c>
      <c r="D49" s="2">
        <v>27.48</v>
      </c>
      <c r="E49" s="2">
        <v>27.28</v>
      </c>
      <c r="K49" s="2"/>
      <c r="L49" s="2"/>
    </row>
    <row r="50" spans="1:12" x14ac:dyDescent="0.2">
      <c r="A50" s="2">
        <v>2.4</v>
      </c>
      <c r="B50" s="2">
        <v>28.62</v>
      </c>
      <c r="C50" s="2">
        <v>28.41</v>
      </c>
      <c r="D50" s="2">
        <v>28.21</v>
      </c>
      <c r="E50" s="2">
        <v>28.01</v>
      </c>
      <c r="K50" s="2"/>
      <c r="L50" s="2"/>
    </row>
    <row r="51" spans="1:12" x14ac:dyDescent="0.2">
      <c r="A51" s="2">
        <v>2.4500000000000002</v>
      </c>
      <c r="B51" s="2">
        <v>29.35</v>
      </c>
      <c r="C51" s="2">
        <v>28.14</v>
      </c>
      <c r="D51" s="2">
        <v>28.94</v>
      </c>
      <c r="E51" s="2">
        <v>28.74</v>
      </c>
    </row>
    <row r="52" spans="1:12" x14ac:dyDescent="0.2">
      <c r="A52" s="2">
        <v>2.5</v>
      </c>
      <c r="B52" s="2">
        <v>30.08</v>
      </c>
      <c r="C52" s="2">
        <v>29.87</v>
      </c>
      <c r="D52" s="2">
        <v>29.67</v>
      </c>
      <c r="E52" s="2">
        <v>29.46</v>
      </c>
    </row>
    <row r="53" spans="1:12" x14ac:dyDescent="0.2">
      <c r="A53" s="2">
        <v>2.5499999999999998</v>
      </c>
      <c r="B53" s="2">
        <v>30.81</v>
      </c>
      <c r="C53" s="2">
        <v>30.6</v>
      </c>
      <c r="D53" s="2">
        <v>30.4</v>
      </c>
      <c r="E53" s="2">
        <v>30.2</v>
      </c>
    </row>
    <row r="54" spans="1:12" x14ac:dyDescent="0.2">
      <c r="A54" s="2">
        <v>2.6</v>
      </c>
      <c r="B54" s="2">
        <v>31.54</v>
      </c>
      <c r="C54" s="2">
        <v>31.34</v>
      </c>
      <c r="D54" s="2">
        <v>31.13</v>
      </c>
      <c r="E54" s="2">
        <v>30.93</v>
      </c>
    </row>
    <row r="55" spans="1:12" x14ac:dyDescent="0.2">
      <c r="A55" s="2">
        <v>2.65</v>
      </c>
      <c r="B55" s="2">
        <v>32.270000000000003</v>
      </c>
      <c r="C55" s="2">
        <v>32.07</v>
      </c>
      <c r="D55" s="2">
        <v>31.86</v>
      </c>
      <c r="E55" s="2">
        <v>31.66</v>
      </c>
    </row>
    <row r="56" spans="1:12" x14ac:dyDescent="0.2">
      <c r="A56" s="2">
        <v>2.7</v>
      </c>
      <c r="B56" s="2">
        <v>33</v>
      </c>
      <c r="C56" s="2">
        <v>32.799999999999997</v>
      </c>
      <c r="D56" s="2">
        <v>32.590000000000003</v>
      </c>
      <c r="E56" s="2">
        <v>32.39</v>
      </c>
    </row>
    <row r="57" spans="1:12" x14ac:dyDescent="0.2">
      <c r="A57" s="2">
        <v>2.75</v>
      </c>
      <c r="B57" s="2">
        <v>33.729999999999997</v>
      </c>
      <c r="C57" s="2">
        <v>33.53</v>
      </c>
      <c r="D57" s="2">
        <v>33.33</v>
      </c>
      <c r="E57" s="2">
        <v>33.130000000000003</v>
      </c>
    </row>
    <row r="58" spans="1:12" x14ac:dyDescent="0.2">
      <c r="A58" s="2">
        <v>2.8</v>
      </c>
      <c r="B58" s="2">
        <v>34.47</v>
      </c>
      <c r="C58" s="2">
        <v>34.26</v>
      </c>
      <c r="D58" s="2">
        <v>34.06</v>
      </c>
      <c r="E58" s="2">
        <v>33.86</v>
      </c>
    </row>
    <row r="59" spans="1:12" x14ac:dyDescent="0.2">
      <c r="A59" s="2">
        <v>2.85</v>
      </c>
      <c r="B59" s="2">
        <v>35.200000000000003</v>
      </c>
      <c r="C59" s="2">
        <v>34.99</v>
      </c>
      <c r="D59" s="2">
        <v>34.79</v>
      </c>
      <c r="E59" s="2">
        <v>34.590000000000003</v>
      </c>
    </row>
    <row r="60" spans="1:12" x14ac:dyDescent="0.2">
      <c r="A60" s="2">
        <v>2.9</v>
      </c>
      <c r="B60" s="2">
        <v>35.93</v>
      </c>
      <c r="C60" s="2">
        <v>35.729999999999997</v>
      </c>
      <c r="D60" s="2">
        <v>35.520000000000003</v>
      </c>
      <c r="E60" s="2">
        <v>35.32</v>
      </c>
    </row>
    <row r="61" spans="1:12" x14ac:dyDescent="0.2">
      <c r="A61" s="2">
        <v>2.95</v>
      </c>
      <c r="B61" s="2">
        <v>36.659999999999997</v>
      </c>
      <c r="C61" s="2">
        <v>36.46</v>
      </c>
      <c r="D61" s="2">
        <v>36.25</v>
      </c>
      <c r="E61" s="2">
        <v>36.049999999999997</v>
      </c>
    </row>
    <row r="62" spans="1:12" x14ac:dyDescent="0.2">
      <c r="A62" s="2">
        <v>3</v>
      </c>
      <c r="B62" s="2">
        <v>37.39</v>
      </c>
      <c r="C62" s="2">
        <v>37.191000000000003</v>
      </c>
      <c r="D62" s="2">
        <v>36.979999999999997</v>
      </c>
      <c r="E62" s="2">
        <v>36.78</v>
      </c>
    </row>
    <row r="63" spans="1:12" x14ac:dyDescent="0.2">
      <c r="A63" s="2">
        <v>3.05</v>
      </c>
      <c r="B63" s="2">
        <v>38.119999999999997</v>
      </c>
      <c r="C63" s="2">
        <v>37.92</v>
      </c>
      <c r="D63" s="2">
        <v>37.71</v>
      </c>
      <c r="E63" s="2">
        <v>37.51</v>
      </c>
    </row>
    <row r="64" spans="1:12" x14ac:dyDescent="0.2">
      <c r="A64" s="2">
        <v>3.1</v>
      </c>
      <c r="B64" s="2">
        <v>38.85</v>
      </c>
      <c r="C64" s="2">
        <v>38.65</v>
      </c>
      <c r="D64" s="2">
        <v>38.450000000000003</v>
      </c>
      <c r="E64" s="2">
        <v>38.24</v>
      </c>
    </row>
    <row r="65" spans="1:5" x14ac:dyDescent="0.2">
      <c r="A65" s="2">
        <v>3.15</v>
      </c>
      <c r="B65" s="2">
        <v>39.58</v>
      </c>
      <c r="C65" s="2">
        <v>39.380000000000003</v>
      </c>
      <c r="D65" s="2">
        <v>39.18</v>
      </c>
      <c r="E65" s="2">
        <v>38.97</v>
      </c>
    </row>
    <row r="66" spans="1:5" x14ac:dyDescent="0.2">
      <c r="A66" s="2">
        <v>3.2</v>
      </c>
      <c r="B66" s="2">
        <v>40.32</v>
      </c>
      <c r="C66" s="2">
        <v>40.11</v>
      </c>
      <c r="D66" s="2">
        <v>39.909999999999997</v>
      </c>
      <c r="E66" s="2">
        <v>39.700000000000003</v>
      </c>
    </row>
    <row r="67" spans="1:5" x14ac:dyDescent="0.2">
      <c r="A67" s="2">
        <v>3.25</v>
      </c>
      <c r="B67" s="2">
        <v>41.05</v>
      </c>
      <c r="C67" s="2">
        <v>40.840000000000003</v>
      </c>
      <c r="D67" s="2">
        <v>40.64</v>
      </c>
      <c r="E67" s="2">
        <v>40.44</v>
      </c>
    </row>
    <row r="68" spans="1:5" x14ac:dyDescent="0.2">
      <c r="A68" s="2">
        <v>3.3</v>
      </c>
      <c r="B68" s="2">
        <v>41.78</v>
      </c>
      <c r="C68" s="2">
        <v>41.57</v>
      </c>
      <c r="D68" s="2">
        <v>41.37</v>
      </c>
      <c r="E68" s="2">
        <v>41.17</v>
      </c>
    </row>
    <row r="69" spans="1:5" x14ac:dyDescent="0.2">
      <c r="A69" s="2">
        <v>3.35</v>
      </c>
      <c r="B69" s="2">
        <v>42.51</v>
      </c>
      <c r="C69" s="2">
        <v>42.31</v>
      </c>
      <c r="D69" s="2">
        <v>42.1</v>
      </c>
      <c r="E69" s="2">
        <v>41.9</v>
      </c>
    </row>
    <row r="70" spans="1:5" x14ac:dyDescent="0.2">
      <c r="A70" s="2">
        <v>3.4</v>
      </c>
      <c r="B70" s="2">
        <v>43.24</v>
      </c>
      <c r="C70" s="2">
        <v>43.04</v>
      </c>
      <c r="D70" s="2">
        <v>42.83</v>
      </c>
      <c r="E70" s="2">
        <v>42.63</v>
      </c>
    </row>
    <row r="71" spans="1:5" x14ac:dyDescent="0.2">
      <c r="A71" s="2">
        <v>3.45</v>
      </c>
      <c r="B71" s="2">
        <v>43.97</v>
      </c>
      <c r="C71" s="2">
        <v>43.77</v>
      </c>
      <c r="D71" s="2">
        <v>43.56</v>
      </c>
      <c r="E71" s="2">
        <v>43.36</v>
      </c>
    </row>
    <row r="72" spans="1:5" x14ac:dyDescent="0.2">
      <c r="A72" s="2">
        <v>3.5</v>
      </c>
      <c r="B72" s="2">
        <v>44.7</v>
      </c>
      <c r="C72" s="2">
        <v>44.5</v>
      </c>
      <c r="D72" s="2">
        <v>44.29</v>
      </c>
      <c r="E72" s="2">
        <v>44.09</v>
      </c>
    </row>
    <row r="73" spans="1:5" x14ac:dyDescent="0.2">
      <c r="A73" s="2">
        <v>3.55</v>
      </c>
      <c r="B73" s="2">
        <v>45.44</v>
      </c>
      <c r="C73" s="2">
        <v>45.23</v>
      </c>
      <c r="D73" s="2">
        <v>45.02</v>
      </c>
      <c r="E73" s="2">
        <v>44.82</v>
      </c>
    </row>
    <row r="74" spans="1:5" x14ac:dyDescent="0.2">
      <c r="A74" s="2">
        <v>3.6</v>
      </c>
      <c r="B74" s="2">
        <v>46.17</v>
      </c>
      <c r="C74" s="2">
        <v>45.96</v>
      </c>
      <c r="D74" s="2">
        <v>45.76</v>
      </c>
      <c r="E74" s="2">
        <v>45.55</v>
      </c>
    </row>
    <row r="75" spans="1:5" x14ac:dyDescent="0.2">
      <c r="A75" s="2">
        <v>3.65</v>
      </c>
      <c r="B75" s="2">
        <v>46.9</v>
      </c>
      <c r="C75" s="2">
        <v>46.69</v>
      </c>
      <c r="D75" s="2">
        <v>46.49</v>
      </c>
      <c r="E75" s="2">
        <v>46.28</v>
      </c>
    </row>
    <row r="76" spans="1:5" x14ac:dyDescent="0.2">
      <c r="A76" s="2">
        <v>3.7</v>
      </c>
      <c r="B76" s="2">
        <v>47.63</v>
      </c>
      <c r="C76" s="2">
        <v>47.42</v>
      </c>
      <c r="D76" s="2">
        <v>47.22</v>
      </c>
      <c r="E76" s="2">
        <v>47.01</v>
      </c>
    </row>
    <row r="77" spans="1:5" x14ac:dyDescent="0.2">
      <c r="A77" s="2">
        <v>3.75</v>
      </c>
      <c r="B77" s="2">
        <v>48.36</v>
      </c>
      <c r="C77" s="2">
        <v>48.16</v>
      </c>
      <c r="D77" s="2">
        <v>47.96</v>
      </c>
      <c r="E77" s="2">
        <v>47.75</v>
      </c>
    </row>
    <row r="78" spans="1:5" x14ac:dyDescent="0.2">
      <c r="A78" s="2">
        <v>3.8</v>
      </c>
      <c r="B78" s="2">
        <v>49.09</v>
      </c>
      <c r="C78" s="2">
        <v>48.89</v>
      </c>
      <c r="D78" s="2">
        <v>48.69</v>
      </c>
      <c r="E78" s="2">
        <v>48.49</v>
      </c>
    </row>
    <row r="79" spans="1:5" x14ac:dyDescent="0.2">
      <c r="A79" s="2">
        <v>3.85</v>
      </c>
      <c r="B79" s="2">
        <v>49.82</v>
      </c>
      <c r="C79" s="2">
        <v>49.62</v>
      </c>
      <c r="D79" s="2">
        <v>49.42</v>
      </c>
      <c r="E79" s="2">
        <v>49.22</v>
      </c>
    </row>
    <row r="80" spans="1:5" x14ac:dyDescent="0.2">
      <c r="A80" s="2">
        <v>3.9</v>
      </c>
      <c r="B80" s="2">
        <v>50.55</v>
      </c>
      <c r="C80" s="2">
        <v>50.35</v>
      </c>
      <c r="D80" s="2">
        <v>50.15</v>
      </c>
      <c r="E80" s="2">
        <v>49.95</v>
      </c>
    </row>
    <row r="81" spans="1:5" x14ac:dyDescent="0.2">
      <c r="A81" s="2">
        <v>3.95</v>
      </c>
      <c r="B81" s="2">
        <v>51.29</v>
      </c>
      <c r="C81" s="2">
        <v>51.08</v>
      </c>
      <c r="D81" s="2">
        <v>50.88</v>
      </c>
      <c r="E81" s="2">
        <v>50.68</v>
      </c>
    </row>
    <row r="82" spans="1:5" x14ac:dyDescent="0.2">
      <c r="A82" s="2">
        <v>4</v>
      </c>
      <c r="B82" s="2">
        <v>52.02</v>
      </c>
      <c r="C82" s="2">
        <v>51.81</v>
      </c>
      <c r="D82" s="2">
        <v>51.61</v>
      </c>
      <c r="E82" s="2">
        <v>51.41</v>
      </c>
    </row>
    <row r="83" spans="1:5" x14ac:dyDescent="0.2">
      <c r="A83" s="2">
        <v>4.05</v>
      </c>
      <c r="B83" s="2">
        <v>52.75</v>
      </c>
      <c r="C83" s="2">
        <v>52.54</v>
      </c>
      <c r="D83" s="2">
        <v>52.34</v>
      </c>
      <c r="E83" s="2">
        <v>52.14</v>
      </c>
    </row>
    <row r="84" spans="1:5" x14ac:dyDescent="0.2">
      <c r="A84" s="2">
        <v>4.0999999999999996</v>
      </c>
      <c r="B84" s="2">
        <v>53.48</v>
      </c>
      <c r="C84" s="2">
        <v>53.28</v>
      </c>
      <c r="D84" s="2">
        <v>53.07</v>
      </c>
      <c r="E84" s="2">
        <v>52.87</v>
      </c>
    </row>
    <row r="85" spans="1:5" x14ac:dyDescent="0.2">
      <c r="A85" s="2">
        <v>4.1500000000000004</v>
      </c>
      <c r="B85" s="2">
        <v>54.21</v>
      </c>
      <c r="C85" s="2">
        <v>54.01</v>
      </c>
      <c r="D85" s="2">
        <v>53.8</v>
      </c>
      <c r="E85" s="2">
        <v>53.6</v>
      </c>
    </row>
    <row r="86" spans="1:5" x14ac:dyDescent="0.2">
      <c r="A86" s="2">
        <v>4.2</v>
      </c>
      <c r="B86" s="2">
        <v>54.94</v>
      </c>
      <c r="C86" s="2">
        <v>54.74</v>
      </c>
      <c r="D86" s="2">
        <v>54.53</v>
      </c>
      <c r="E86" s="2">
        <v>54.33</v>
      </c>
    </row>
    <row r="87" spans="1:5" x14ac:dyDescent="0.2">
      <c r="A87" s="2">
        <v>4.25</v>
      </c>
      <c r="B87" s="2">
        <v>55.67</v>
      </c>
      <c r="C87" s="2">
        <v>55.47</v>
      </c>
      <c r="D87" s="2">
        <v>55.27</v>
      </c>
      <c r="E87" s="2">
        <v>55.06</v>
      </c>
    </row>
    <row r="88" spans="1:5" x14ac:dyDescent="0.2">
      <c r="A88" s="2">
        <v>4.3</v>
      </c>
      <c r="B88" s="2">
        <v>56.4</v>
      </c>
      <c r="C88" s="2">
        <v>56.2</v>
      </c>
      <c r="D88" s="2">
        <v>56</v>
      </c>
      <c r="E88" s="2">
        <v>55.79</v>
      </c>
    </row>
    <row r="89" spans="1:5" x14ac:dyDescent="0.2">
      <c r="A89" s="2">
        <v>4.3499999999999996</v>
      </c>
      <c r="B89" s="2">
        <v>57.14</v>
      </c>
      <c r="C89" s="2">
        <v>56.93</v>
      </c>
      <c r="D89" s="2">
        <v>56.73</v>
      </c>
      <c r="E89" s="2">
        <v>56.53</v>
      </c>
    </row>
    <row r="90" spans="1:5" x14ac:dyDescent="0.2">
      <c r="A90" s="2">
        <v>4.4000000000000004</v>
      </c>
      <c r="B90" s="2">
        <v>57.87</v>
      </c>
      <c r="C90" s="2">
        <v>57.66</v>
      </c>
      <c r="D90" s="2">
        <v>57.46</v>
      </c>
      <c r="E90" s="2">
        <v>57.26</v>
      </c>
    </row>
    <row r="91" spans="1:5" x14ac:dyDescent="0.2">
      <c r="A91" s="2">
        <v>4.45</v>
      </c>
      <c r="B91" s="2">
        <v>58.6</v>
      </c>
      <c r="C91" s="2">
        <v>58.4</v>
      </c>
      <c r="D91" s="2">
        <v>58.19</v>
      </c>
      <c r="E91" s="2">
        <v>57.99</v>
      </c>
    </row>
    <row r="92" spans="1:5" x14ac:dyDescent="0.2">
      <c r="A92" s="2">
        <v>4.5</v>
      </c>
      <c r="B92" s="2">
        <v>59.33</v>
      </c>
      <c r="C92" s="2">
        <v>59.12</v>
      </c>
      <c r="D92" s="2">
        <v>59.92</v>
      </c>
      <c r="E92" s="2">
        <v>58.71</v>
      </c>
    </row>
    <row r="93" spans="1:5" x14ac:dyDescent="0.2">
      <c r="A93" s="2">
        <v>4.55</v>
      </c>
      <c r="B93" s="2">
        <v>60.06</v>
      </c>
      <c r="C93" s="2">
        <v>59.86</v>
      </c>
      <c r="D93" s="2">
        <v>59.65</v>
      </c>
      <c r="E93" s="2">
        <v>59.44</v>
      </c>
    </row>
    <row r="94" spans="1:5" x14ac:dyDescent="0.2">
      <c r="A94" s="2">
        <v>4.5999999999999996</v>
      </c>
      <c r="B94" s="2">
        <v>60.79</v>
      </c>
      <c r="C94" s="2">
        <v>60.59</v>
      </c>
      <c r="D94" s="2">
        <v>60.38</v>
      </c>
      <c r="E94" s="2">
        <v>60.18</v>
      </c>
    </row>
    <row r="95" spans="1:5" x14ac:dyDescent="0.2">
      <c r="A95" s="2">
        <v>4.6500000000000004</v>
      </c>
      <c r="B95" s="2">
        <v>61.52</v>
      </c>
      <c r="C95" s="2">
        <v>61.32</v>
      </c>
      <c r="D95" s="2">
        <v>61.11</v>
      </c>
      <c r="E95" s="2">
        <v>60.91</v>
      </c>
    </row>
    <row r="96" spans="1:5" x14ac:dyDescent="0.2">
      <c r="A96" s="2">
        <v>4.7</v>
      </c>
      <c r="B96" s="2">
        <v>62.26</v>
      </c>
      <c r="C96" s="2">
        <v>62.05</v>
      </c>
      <c r="D96" s="2">
        <v>61.84</v>
      </c>
      <c r="E96" s="2">
        <v>61.64</v>
      </c>
    </row>
    <row r="97" spans="1:5" x14ac:dyDescent="0.2">
      <c r="A97" s="2">
        <v>4.75</v>
      </c>
      <c r="B97" s="2">
        <v>62.99</v>
      </c>
      <c r="C97" s="2">
        <v>62.79</v>
      </c>
      <c r="D97" s="2">
        <v>62.58</v>
      </c>
      <c r="E97" s="2">
        <v>62.38</v>
      </c>
    </row>
    <row r="98" spans="1:5" x14ac:dyDescent="0.2">
      <c r="A98" s="2">
        <v>4.8</v>
      </c>
      <c r="B98" s="2">
        <v>63.72</v>
      </c>
      <c r="C98" s="2">
        <v>63.52</v>
      </c>
      <c r="D98" s="2">
        <v>63.32</v>
      </c>
      <c r="E98" s="2">
        <v>63.11</v>
      </c>
    </row>
    <row r="99" spans="1:5" x14ac:dyDescent="0.2">
      <c r="A99" s="2">
        <v>4.8499999999999996</v>
      </c>
      <c r="B99" s="2">
        <v>64.45</v>
      </c>
      <c r="C99" s="2">
        <v>64.25</v>
      </c>
      <c r="D99" s="2">
        <v>64.05</v>
      </c>
      <c r="E99" s="2">
        <v>63.84</v>
      </c>
    </row>
    <row r="100" spans="1:5" x14ac:dyDescent="0.2">
      <c r="A100" s="2">
        <v>4.9000000000000004</v>
      </c>
      <c r="B100" s="2">
        <v>65.180000000000007</v>
      </c>
      <c r="C100" s="2">
        <v>64.98</v>
      </c>
      <c r="D100" s="2">
        <v>64.78</v>
      </c>
      <c r="E100" s="2">
        <v>64.58</v>
      </c>
    </row>
    <row r="101" spans="1:5" x14ac:dyDescent="0.2">
      <c r="A101" s="2">
        <v>4.95</v>
      </c>
      <c r="B101" s="2">
        <v>65.91</v>
      </c>
      <c r="C101" s="2">
        <v>65.709999999999994</v>
      </c>
      <c r="D101" s="2">
        <v>65.510000000000005</v>
      </c>
      <c r="E101" s="2">
        <v>65.31</v>
      </c>
    </row>
    <row r="102" spans="1:5" x14ac:dyDescent="0.2">
      <c r="A102" s="2">
        <v>5</v>
      </c>
      <c r="B102" s="2">
        <v>66.64</v>
      </c>
      <c r="C102" s="2">
        <v>66.64</v>
      </c>
      <c r="D102" s="2">
        <v>66.239999999999995</v>
      </c>
      <c r="E102" s="2">
        <v>66.03</v>
      </c>
    </row>
    <row r="103" spans="1:5" x14ac:dyDescent="0.2">
      <c r="A103" s="2">
        <v>5.05</v>
      </c>
      <c r="B103" s="2">
        <v>67.37</v>
      </c>
      <c r="C103" s="2">
        <v>67.17</v>
      </c>
      <c r="D103" s="2">
        <v>66.97</v>
      </c>
      <c r="E103" s="2">
        <v>66.760000000000005</v>
      </c>
    </row>
    <row r="104" spans="1:5" x14ac:dyDescent="0.2">
      <c r="A104" s="2">
        <v>5.0999999999999996</v>
      </c>
      <c r="B104" s="2">
        <v>68.11</v>
      </c>
      <c r="C104" s="2">
        <v>67.900000000000006</v>
      </c>
      <c r="D104" s="2">
        <v>67.7</v>
      </c>
      <c r="E104" s="2">
        <v>67.489999999999995</v>
      </c>
    </row>
    <row r="105" spans="1:5" x14ac:dyDescent="0.2">
      <c r="A105" s="2">
        <v>5.15</v>
      </c>
      <c r="B105" s="2">
        <v>68.64</v>
      </c>
      <c r="C105" s="2">
        <v>68.63</v>
      </c>
      <c r="D105" s="2">
        <v>68.430000000000007</v>
      </c>
      <c r="E105" s="2">
        <v>68.23</v>
      </c>
    </row>
    <row r="106" spans="1:5" x14ac:dyDescent="0.2">
      <c r="A106" s="2">
        <v>5.2</v>
      </c>
      <c r="B106" s="2">
        <v>69.569999999999993</v>
      </c>
      <c r="C106" s="2">
        <v>69.37</v>
      </c>
      <c r="D106" s="2">
        <v>69.16</v>
      </c>
      <c r="E106" s="2">
        <v>68.959999999999994</v>
      </c>
    </row>
    <row r="107" spans="1:5" x14ac:dyDescent="0.2">
      <c r="A107" s="2">
        <v>5.25</v>
      </c>
      <c r="B107" s="2">
        <v>70.3</v>
      </c>
      <c r="C107" s="2">
        <v>70.099999999999994</v>
      </c>
      <c r="D107" s="2">
        <v>69.89</v>
      </c>
      <c r="E107" s="2">
        <v>69.69</v>
      </c>
    </row>
    <row r="108" spans="1:5" x14ac:dyDescent="0.2">
      <c r="A108" s="2">
        <v>5.3</v>
      </c>
      <c r="B108" s="2">
        <v>71.03</v>
      </c>
      <c r="C108" s="2">
        <v>70.83</v>
      </c>
      <c r="D108" s="2">
        <v>70.62</v>
      </c>
      <c r="E108" s="2">
        <v>70.42</v>
      </c>
    </row>
    <row r="109" spans="1:5" x14ac:dyDescent="0.2">
      <c r="A109" s="2">
        <v>5.35</v>
      </c>
      <c r="B109" s="2">
        <v>71.760000000000005</v>
      </c>
      <c r="C109" s="2">
        <v>71.56</v>
      </c>
      <c r="D109" s="2">
        <v>71.36</v>
      </c>
      <c r="E109" s="2">
        <v>71.150000000000006</v>
      </c>
    </row>
    <row r="110" spans="1:5" x14ac:dyDescent="0.2">
      <c r="A110" s="2">
        <v>5.4</v>
      </c>
      <c r="B110" s="2">
        <v>72.489999999999995</v>
      </c>
      <c r="C110" s="2">
        <v>72.290000000000006</v>
      </c>
      <c r="D110" s="2">
        <v>72.09</v>
      </c>
      <c r="E110" s="2">
        <v>71.88</v>
      </c>
    </row>
    <row r="111" spans="1:5" x14ac:dyDescent="0.2">
      <c r="A111" s="2">
        <v>5.45</v>
      </c>
      <c r="B111" s="2">
        <v>73.23</v>
      </c>
      <c r="C111" s="2">
        <v>73.02</v>
      </c>
      <c r="D111" s="2">
        <v>72.819999999999993</v>
      </c>
      <c r="E111" s="2">
        <v>72.61</v>
      </c>
    </row>
    <row r="112" spans="1:5" x14ac:dyDescent="0.2">
      <c r="A112" s="2">
        <v>5.5</v>
      </c>
      <c r="B112" s="2">
        <v>73.959999999999994</v>
      </c>
      <c r="C112" s="2">
        <v>73.75</v>
      </c>
      <c r="D112" s="2">
        <v>73.540000000000006</v>
      </c>
      <c r="E112" s="2">
        <v>73.34</v>
      </c>
    </row>
    <row r="113" spans="1:5" x14ac:dyDescent="0.2">
      <c r="A113" s="2">
        <v>5.55</v>
      </c>
      <c r="B113" s="2">
        <v>74.69</v>
      </c>
      <c r="C113" s="2">
        <v>74.48</v>
      </c>
      <c r="D113" s="2">
        <v>74.28</v>
      </c>
      <c r="E113" s="2">
        <v>74.069999999999993</v>
      </c>
    </row>
    <row r="114" spans="1:5" x14ac:dyDescent="0.2">
      <c r="A114" s="2">
        <v>5.6</v>
      </c>
      <c r="B114" s="2">
        <v>75.42</v>
      </c>
      <c r="C114" s="2">
        <v>75.209999999999994</v>
      </c>
      <c r="D114" s="2">
        <v>75.010000000000005</v>
      </c>
      <c r="E114" s="2">
        <v>74.8</v>
      </c>
    </row>
    <row r="115" spans="1:5" x14ac:dyDescent="0.2">
      <c r="A115" s="2">
        <v>5.65</v>
      </c>
      <c r="B115" s="2">
        <v>76.150000000000006</v>
      </c>
      <c r="C115" s="2">
        <v>75.94</v>
      </c>
      <c r="D115" s="2">
        <v>75.739999999999995</v>
      </c>
      <c r="E115" s="2">
        <v>75.53</v>
      </c>
    </row>
    <row r="116" spans="1:5" x14ac:dyDescent="0.2">
      <c r="A116" s="2">
        <v>5.7</v>
      </c>
      <c r="B116" s="2">
        <v>76.88</v>
      </c>
      <c r="C116" s="2">
        <v>76.680000000000007</v>
      </c>
      <c r="D116" s="2">
        <v>76.47</v>
      </c>
      <c r="E116" s="2">
        <v>76.260000000000005</v>
      </c>
    </row>
    <row r="117" spans="1:5" x14ac:dyDescent="0.2">
      <c r="A117" s="2">
        <v>5.75</v>
      </c>
      <c r="B117" s="2">
        <v>77.61</v>
      </c>
      <c r="C117" s="2">
        <v>77.41</v>
      </c>
      <c r="D117" s="2">
        <v>77.209999999999994</v>
      </c>
      <c r="E117" s="2">
        <v>77.010000000000005</v>
      </c>
    </row>
    <row r="118" spans="1:5" x14ac:dyDescent="0.2">
      <c r="A118" s="2">
        <v>5.8</v>
      </c>
      <c r="B118" s="2">
        <v>78.34</v>
      </c>
      <c r="C118" s="2">
        <v>78.14</v>
      </c>
      <c r="D118" s="2">
        <v>77.94</v>
      </c>
      <c r="E118" s="2">
        <v>77.739999999999995</v>
      </c>
    </row>
    <row r="119" spans="1:5" x14ac:dyDescent="0.2">
      <c r="A119" s="2">
        <v>5.85</v>
      </c>
      <c r="B119" s="2">
        <v>79.08</v>
      </c>
      <c r="C119" s="2">
        <v>78.88</v>
      </c>
      <c r="D119" s="2">
        <v>78.67</v>
      </c>
      <c r="E119" s="2">
        <v>78.47</v>
      </c>
    </row>
    <row r="120" spans="1:5" x14ac:dyDescent="0.2">
      <c r="A120" s="2">
        <v>5.9</v>
      </c>
      <c r="B120" s="2">
        <v>79.81</v>
      </c>
      <c r="C120" s="2">
        <v>79.61</v>
      </c>
      <c r="D120" s="2">
        <v>79.41</v>
      </c>
      <c r="E120" s="2">
        <v>79.2</v>
      </c>
    </row>
    <row r="121" spans="1:5" x14ac:dyDescent="0.2">
      <c r="A121" s="2">
        <v>5.95</v>
      </c>
      <c r="B121" s="2">
        <v>80.540000000000006</v>
      </c>
      <c r="C121" s="2">
        <v>80.34</v>
      </c>
      <c r="D121" s="2">
        <v>80.14</v>
      </c>
      <c r="E121" s="2">
        <v>79.94</v>
      </c>
    </row>
    <row r="122" spans="1:5" x14ac:dyDescent="0.2">
      <c r="A122" s="2">
        <v>6</v>
      </c>
      <c r="B122" s="2">
        <v>81.27</v>
      </c>
      <c r="C122" s="2">
        <v>81.069999999999993</v>
      </c>
      <c r="D122" s="2">
        <v>80.86</v>
      </c>
      <c r="E122" s="2">
        <v>80.66</v>
      </c>
    </row>
    <row r="123" spans="1:5" x14ac:dyDescent="0.2">
      <c r="A123" s="2">
        <v>6.05</v>
      </c>
      <c r="B123" s="2">
        <v>82</v>
      </c>
      <c r="C123" s="2">
        <v>81.8</v>
      </c>
      <c r="D123" s="2">
        <v>81.59</v>
      </c>
      <c r="E123" s="2">
        <v>81.39</v>
      </c>
    </row>
    <row r="124" spans="1:5" x14ac:dyDescent="0.2">
      <c r="A124" s="2">
        <v>6.1</v>
      </c>
      <c r="B124" s="2">
        <v>82.73</v>
      </c>
      <c r="C124" s="2">
        <v>82.53</v>
      </c>
      <c r="D124" s="2">
        <v>82.33</v>
      </c>
      <c r="E124" s="2">
        <v>82.12</v>
      </c>
    </row>
    <row r="125" spans="1:5" x14ac:dyDescent="0.2">
      <c r="A125" s="2">
        <v>6.15</v>
      </c>
      <c r="B125" s="2">
        <v>83.46</v>
      </c>
      <c r="C125" s="2">
        <v>83.26</v>
      </c>
      <c r="D125" s="2">
        <v>83.06</v>
      </c>
      <c r="E125" s="2">
        <v>82.85</v>
      </c>
    </row>
    <row r="126" spans="1:5" x14ac:dyDescent="0.2">
      <c r="A126" s="2">
        <v>6.2</v>
      </c>
      <c r="B126" s="2">
        <v>84.2</v>
      </c>
      <c r="C126" s="2">
        <v>83.99</v>
      </c>
      <c r="D126" s="2">
        <v>83.79</v>
      </c>
      <c r="E126" s="2">
        <v>83.58</v>
      </c>
    </row>
    <row r="127" spans="1:5" x14ac:dyDescent="0.2">
      <c r="A127" s="2">
        <v>6.25</v>
      </c>
      <c r="B127" s="2">
        <v>84.93</v>
      </c>
      <c r="C127" s="2">
        <v>84.72</v>
      </c>
      <c r="D127" s="2">
        <v>84.52</v>
      </c>
      <c r="E127" s="2">
        <v>84.32</v>
      </c>
    </row>
    <row r="128" spans="1:5" x14ac:dyDescent="0.2">
      <c r="A128" s="2">
        <v>6.3</v>
      </c>
      <c r="B128" s="2">
        <v>85.66</v>
      </c>
      <c r="C128" s="2">
        <v>85.45</v>
      </c>
      <c r="D128" s="2">
        <v>85.25</v>
      </c>
      <c r="E128" s="2">
        <v>85.05</v>
      </c>
    </row>
    <row r="129" spans="1:5" x14ac:dyDescent="0.2">
      <c r="A129" s="2">
        <v>6.35</v>
      </c>
      <c r="B129" s="2">
        <v>86.39</v>
      </c>
      <c r="C129" s="2">
        <v>86.19</v>
      </c>
      <c r="D129" s="2">
        <v>85.98</v>
      </c>
      <c r="E129" s="2">
        <v>85.78</v>
      </c>
    </row>
    <row r="130" spans="1:5" x14ac:dyDescent="0.2">
      <c r="A130" s="2">
        <v>6.4</v>
      </c>
      <c r="B130" s="2">
        <v>87.12</v>
      </c>
      <c r="C130" s="2">
        <v>86.92</v>
      </c>
      <c r="D130" s="2">
        <v>86.71</v>
      </c>
      <c r="E130" s="2">
        <v>86.51</v>
      </c>
    </row>
    <row r="131" spans="1:5" x14ac:dyDescent="0.2">
      <c r="A131" s="2">
        <v>6.45</v>
      </c>
      <c r="B131" s="2">
        <v>87.85</v>
      </c>
      <c r="C131" s="2">
        <v>87.65</v>
      </c>
      <c r="D131" s="2">
        <v>87.44</v>
      </c>
      <c r="E131" s="2">
        <v>87.24</v>
      </c>
    </row>
    <row r="132" spans="1:5" x14ac:dyDescent="0.2">
      <c r="A132" s="2">
        <v>6.5</v>
      </c>
      <c r="B132" s="2">
        <v>88.58</v>
      </c>
      <c r="C132" s="2">
        <v>88.38</v>
      </c>
      <c r="D132" s="2">
        <v>88.17</v>
      </c>
      <c r="E132" s="2">
        <v>87.96</v>
      </c>
    </row>
    <row r="133" spans="1:5" x14ac:dyDescent="0.2">
      <c r="A133" s="2">
        <v>6.55</v>
      </c>
      <c r="B133" s="2">
        <v>89.31</v>
      </c>
      <c r="C133" s="2">
        <v>89.11</v>
      </c>
      <c r="D133" s="2">
        <v>88.9</v>
      </c>
      <c r="E133" s="2">
        <v>88.7</v>
      </c>
    </row>
    <row r="134" spans="1:5" x14ac:dyDescent="0.2">
      <c r="A134" s="2">
        <v>6.6</v>
      </c>
      <c r="B134" s="2">
        <v>90.05</v>
      </c>
      <c r="C134" s="2">
        <v>89.84</v>
      </c>
      <c r="D134" s="2">
        <v>89.63</v>
      </c>
      <c r="E134" s="2">
        <v>89.43</v>
      </c>
    </row>
    <row r="135" spans="1:5" x14ac:dyDescent="0.2">
      <c r="A135" s="2">
        <v>6.65</v>
      </c>
      <c r="B135" s="2">
        <v>90.78</v>
      </c>
      <c r="C135" s="2">
        <v>90.57</v>
      </c>
      <c r="D135" s="2">
        <v>90.36</v>
      </c>
      <c r="E135" s="2">
        <v>90.16</v>
      </c>
    </row>
    <row r="136" spans="1:5" x14ac:dyDescent="0.2">
      <c r="A136" s="2">
        <v>6.7</v>
      </c>
      <c r="B136" s="2">
        <v>91.51</v>
      </c>
      <c r="C136" s="2">
        <v>91.3</v>
      </c>
      <c r="D136" s="2">
        <v>91.1</v>
      </c>
      <c r="E136" s="2">
        <v>90.89</v>
      </c>
    </row>
    <row r="137" spans="1:5" x14ac:dyDescent="0.2">
      <c r="A137" s="2">
        <v>6.75</v>
      </c>
      <c r="B137" s="2">
        <v>92.24</v>
      </c>
      <c r="C137" s="2">
        <v>92.04</v>
      </c>
      <c r="D137" s="2">
        <v>91.84</v>
      </c>
      <c r="E137" s="2">
        <v>91.64</v>
      </c>
    </row>
    <row r="138" spans="1:5" x14ac:dyDescent="0.2">
      <c r="A138" s="2">
        <v>6.8</v>
      </c>
      <c r="B138" s="2">
        <v>92.97</v>
      </c>
      <c r="C138" s="2">
        <v>92.77</v>
      </c>
      <c r="D138" s="2">
        <v>92.57</v>
      </c>
      <c r="E138" s="2">
        <v>92.37</v>
      </c>
    </row>
    <row r="139" spans="1:5" x14ac:dyDescent="0.2">
      <c r="A139" s="2">
        <v>6.85</v>
      </c>
      <c r="B139" s="2">
        <v>93.7</v>
      </c>
      <c r="C139" s="2">
        <v>93.5</v>
      </c>
      <c r="D139" s="2">
        <v>93.3</v>
      </c>
      <c r="E139" s="2">
        <v>93.1</v>
      </c>
    </row>
    <row r="140" spans="1:5" x14ac:dyDescent="0.2">
      <c r="A140" s="2">
        <v>6.9</v>
      </c>
      <c r="B140" s="2">
        <v>94.43</v>
      </c>
      <c r="C140" s="2">
        <v>94.23</v>
      </c>
      <c r="D140" s="2">
        <v>94.03</v>
      </c>
      <c r="E140" s="2">
        <v>93.83</v>
      </c>
    </row>
    <row r="141" spans="1:5" x14ac:dyDescent="0.2">
      <c r="A141" s="2">
        <v>6.95</v>
      </c>
      <c r="B141" s="2">
        <v>95.17</v>
      </c>
      <c r="C141" s="2">
        <v>94.96</v>
      </c>
      <c r="D141" s="2">
        <v>94.76</v>
      </c>
      <c r="E141" s="2">
        <v>94.56</v>
      </c>
    </row>
    <row r="142" spans="1:5" x14ac:dyDescent="0.2">
      <c r="A142" s="2">
        <v>7</v>
      </c>
      <c r="B142" s="2">
        <v>95.9</v>
      </c>
      <c r="C142" s="2">
        <v>95.69</v>
      </c>
      <c r="D142" s="2">
        <v>95.49</v>
      </c>
      <c r="E142" s="2">
        <v>95.29</v>
      </c>
    </row>
    <row r="143" spans="1:5" x14ac:dyDescent="0.2">
      <c r="A143" s="2">
        <v>7.05</v>
      </c>
      <c r="B143" s="2">
        <v>96.63</v>
      </c>
      <c r="C143" s="2">
        <v>96.42</v>
      </c>
      <c r="D143" s="2">
        <v>96.22</v>
      </c>
      <c r="E143" s="2">
        <v>96.02</v>
      </c>
    </row>
    <row r="144" spans="1:5" x14ac:dyDescent="0.2">
      <c r="A144" s="2">
        <v>7.1</v>
      </c>
      <c r="B144" s="2">
        <v>97.36</v>
      </c>
      <c r="C144" s="2">
        <v>97.16</v>
      </c>
      <c r="D144" s="2">
        <v>96.95</v>
      </c>
      <c r="E144" s="2">
        <v>96.75</v>
      </c>
    </row>
    <row r="145" spans="1:5" x14ac:dyDescent="0.2">
      <c r="A145" s="2">
        <v>7.15</v>
      </c>
      <c r="B145" s="2">
        <v>98.09</v>
      </c>
      <c r="C145" s="2">
        <v>97.89</v>
      </c>
      <c r="D145" s="2">
        <v>97.68</v>
      </c>
      <c r="E145" s="2">
        <v>97.48</v>
      </c>
    </row>
    <row r="146" spans="1:5" x14ac:dyDescent="0.2">
      <c r="A146" s="2">
        <v>7.2</v>
      </c>
      <c r="B146" s="2">
        <v>98.82</v>
      </c>
      <c r="C146" s="2">
        <v>98.62</v>
      </c>
      <c r="D146" s="2">
        <v>98.41</v>
      </c>
      <c r="E146" s="2">
        <v>98.21</v>
      </c>
    </row>
    <row r="147" spans="1:5" x14ac:dyDescent="0.2">
      <c r="A147" s="2">
        <v>7.25</v>
      </c>
      <c r="B147" s="2">
        <v>99.55</v>
      </c>
      <c r="C147" s="2">
        <v>99.35</v>
      </c>
      <c r="D147" s="2">
        <v>99.15</v>
      </c>
      <c r="E147" s="2">
        <v>98.94</v>
      </c>
    </row>
    <row r="148" spans="1:5" x14ac:dyDescent="0.2">
      <c r="A148" s="2">
        <v>7.3</v>
      </c>
      <c r="B148" s="2">
        <v>100.28</v>
      </c>
      <c r="C148" s="2">
        <v>100.08</v>
      </c>
      <c r="D148" s="2">
        <v>99.88</v>
      </c>
      <c r="E148" s="2">
        <v>99.67</v>
      </c>
    </row>
    <row r="149" spans="1:5" x14ac:dyDescent="0.2">
      <c r="A149" s="2">
        <v>7.35</v>
      </c>
      <c r="B149" s="2">
        <v>101.02</v>
      </c>
      <c r="C149" s="2">
        <v>100.81</v>
      </c>
      <c r="D149" s="2">
        <v>100.61</v>
      </c>
      <c r="E149" s="2">
        <v>100.4</v>
      </c>
    </row>
    <row r="150" spans="1:5" x14ac:dyDescent="0.2">
      <c r="A150" s="2">
        <v>7.4</v>
      </c>
      <c r="B150" s="2">
        <v>101.75</v>
      </c>
      <c r="C150" s="2">
        <v>101.54</v>
      </c>
      <c r="D150" s="2">
        <v>101.34</v>
      </c>
      <c r="E150" s="2">
        <v>101.14</v>
      </c>
    </row>
    <row r="151" spans="1:5" x14ac:dyDescent="0.2">
      <c r="A151" s="2">
        <v>7.45</v>
      </c>
      <c r="B151" s="2">
        <v>102.48</v>
      </c>
      <c r="C151" s="2">
        <v>102.28</v>
      </c>
      <c r="D151" s="2">
        <v>102.07</v>
      </c>
      <c r="E151" s="2">
        <v>101.87</v>
      </c>
    </row>
    <row r="152" spans="1:5" x14ac:dyDescent="0.2">
      <c r="A152" s="2">
        <v>7.5</v>
      </c>
      <c r="B152" s="2">
        <v>103.21</v>
      </c>
      <c r="C152" s="2">
        <v>103</v>
      </c>
      <c r="D152" s="2">
        <v>102.8</v>
      </c>
      <c r="E152" s="2">
        <v>102.59</v>
      </c>
    </row>
    <row r="153" spans="1:5" x14ac:dyDescent="0.2">
      <c r="A153" s="2">
        <v>7.55</v>
      </c>
      <c r="B153" s="2">
        <v>103.94</v>
      </c>
      <c r="C153" s="2">
        <v>103.73</v>
      </c>
      <c r="D153" s="2">
        <v>103.53</v>
      </c>
      <c r="E153" s="2">
        <v>103.32</v>
      </c>
    </row>
    <row r="154" spans="1:5" x14ac:dyDescent="0.2">
      <c r="A154" s="2">
        <v>7.6</v>
      </c>
      <c r="B154" s="2">
        <v>104.67</v>
      </c>
      <c r="C154" s="2">
        <v>104.47</v>
      </c>
      <c r="D154" s="2">
        <v>104.26</v>
      </c>
      <c r="E154" s="2">
        <v>104.05</v>
      </c>
    </row>
    <row r="155" spans="1:5" x14ac:dyDescent="0.2">
      <c r="A155" s="2">
        <v>7.65</v>
      </c>
      <c r="B155" s="2">
        <v>105.4</v>
      </c>
      <c r="C155" s="2">
        <v>105.2</v>
      </c>
      <c r="D155" s="2">
        <v>104.99</v>
      </c>
      <c r="E155" s="2">
        <v>104.78</v>
      </c>
    </row>
    <row r="156" spans="1:5" x14ac:dyDescent="0.2">
      <c r="A156" s="2">
        <v>7.7</v>
      </c>
      <c r="B156" s="2">
        <v>106.14</v>
      </c>
      <c r="C156" s="2">
        <v>105.93</v>
      </c>
      <c r="D156" s="2">
        <v>105.72</v>
      </c>
      <c r="E156" s="2">
        <v>105.51</v>
      </c>
    </row>
    <row r="157" spans="1:5" x14ac:dyDescent="0.2">
      <c r="A157" s="2">
        <v>7.75</v>
      </c>
      <c r="B157" s="2">
        <v>106.87</v>
      </c>
      <c r="C157" s="2">
        <v>106.67</v>
      </c>
      <c r="D157" s="2">
        <v>106.47</v>
      </c>
      <c r="E157" s="2">
        <v>106.27</v>
      </c>
    </row>
    <row r="158" spans="1:5" x14ac:dyDescent="0.2">
      <c r="A158" s="2">
        <v>7.8</v>
      </c>
      <c r="B158" s="2">
        <v>107.6</v>
      </c>
      <c r="C158" s="2">
        <v>107.4</v>
      </c>
      <c r="D158" s="2">
        <v>107.2</v>
      </c>
      <c r="E158" s="2">
        <v>107</v>
      </c>
    </row>
    <row r="159" spans="1:5" x14ac:dyDescent="0.2">
      <c r="A159" s="2">
        <v>7.85</v>
      </c>
      <c r="B159" s="2">
        <v>108.33</v>
      </c>
      <c r="C159" s="2">
        <v>108.13</v>
      </c>
      <c r="D159" s="2">
        <v>107.93</v>
      </c>
      <c r="E159" s="2">
        <v>107.73</v>
      </c>
    </row>
    <row r="160" spans="1:5" x14ac:dyDescent="0.2">
      <c r="A160" s="2">
        <v>7.9</v>
      </c>
      <c r="B160" s="2">
        <v>109.06</v>
      </c>
      <c r="C160" s="2">
        <v>108.86</v>
      </c>
      <c r="D160" s="2">
        <v>108.66</v>
      </c>
      <c r="E160" s="2">
        <v>108.46</v>
      </c>
    </row>
    <row r="161" spans="1:11" x14ac:dyDescent="0.2">
      <c r="A161" s="2">
        <v>7.95</v>
      </c>
      <c r="B161" s="2">
        <v>109.79</v>
      </c>
      <c r="C161" s="2">
        <v>109.59</v>
      </c>
      <c r="D161" s="2">
        <v>109.39</v>
      </c>
      <c r="E161" s="2">
        <v>109.19</v>
      </c>
      <c r="K161" s="2"/>
    </row>
    <row r="162" spans="1:11" x14ac:dyDescent="0.2">
      <c r="A162" s="2">
        <v>8</v>
      </c>
      <c r="B162" s="2">
        <v>110.52</v>
      </c>
      <c r="C162" s="2">
        <v>110.32</v>
      </c>
      <c r="D162" s="2">
        <v>110.12</v>
      </c>
      <c r="E162" s="2">
        <v>109.91</v>
      </c>
      <c r="K162" s="2"/>
    </row>
    <row r="163" spans="1:11" x14ac:dyDescent="0.2">
      <c r="A163" s="2">
        <v>8.0500000000000007</v>
      </c>
      <c r="B163" s="2">
        <v>111.25</v>
      </c>
      <c r="C163" s="2">
        <v>111.05</v>
      </c>
      <c r="D163" s="2">
        <v>110.85</v>
      </c>
      <c r="E163" s="2">
        <v>110.64</v>
      </c>
      <c r="K163" s="2"/>
    </row>
    <row r="164" spans="1:11" x14ac:dyDescent="0.2">
      <c r="A164" s="2">
        <v>8.1</v>
      </c>
      <c r="B164" s="2">
        <v>111.99</v>
      </c>
      <c r="C164" s="2">
        <v>111.78</v>
      </c>
      <c r="D164" s="2">
        <v>111.58</v>
      </c>
      <c r="E164" s="2">
        <v>111.38</v>
      </c>
    </row>
    <row r="165" spans="1:11" x14ac:dyDescent="0.2">
      <c r="A165" s="2">
        <v>8.15</v>
      </c>
      <c r="B165" s="2">
        <v>112.72</v>
      </c>
      <c r="C165" s="2">
        <v>112.51</v>
      </c>
      <c r="D165" s="2">
        <v>112.31</v>
      </c>
      <c r="E165" s="2">
        <v>112.11</v>
      </c>
    </row>
    <row r="166" spans="1:11" x14ac:dyDescent="0.2">
      <c r="A166" s="2">
        <v>8.1999999999999993</v>
      </c>
      <c r="B166" s="2">
        <v>113.45</v>
      </c>
      <c r="C166" s="2">
        <v>113.25</v>
      </c>
      <c r="D166" s="2">
        <v>113.04</v>
      </c>
      <c r="E166" s="2">
        <v>112.84</v>
      </c>
    </row>
    <row r="167" spans="1:11" x14ac:dyDescent="0.2">
      <c r="A167" s="2">
        <v>8.25</v>
      </c>
      <c r="B167" s="2">
        <v>114.18</v>
      </c>
      <c r="C167" s="2">
        <v>113.98</v>
      </c>
      <c r="D167" s="2">
        <v>113.77</v>
      </c>
      <c r="E167" s="2">
        <v>113.57</v>
      </c>
    </row>
    <row r="168" spans="1:11" x14ac:dyDescent="0.2">
      <c r="A168" s="2">
        <v>8.3000000000000007</v>
      </c>
      <c r="B168" s="2">
        <v>114.91</v>
      </c>
      <c r="C168" s="2">
        <v>114.71</v>
      </c>
      <c r="D168" s="2">
        <v>114.5</v>
      </c>
      <c r="E168" s="2">
        <v>114.3</v>
      </c>
    </row>
    <row r="169" spans="1:11" x14ac:dyDescent="0.2">
      <c r="A169" s="2">
        <v>8.35</v>
      </c>
      <c r="B169" s="2">
        <v>115.64</v>
      </c>
      <c r="C169" s="2">
        <v>115.44</v>
      </c>
      <c r="D169" s="2">
        <v>115.24</v>
      </c>
      <c r="E169" s="2">
        <v>115.03</v>
      </c>
    </row>
    <row r="170" spans="1:11" x14ac:dyDescent="0.2">
      <c r="A170" s="2">
        <v>8.4</v>
      </c>
      <c r="B170" s="2">
        <v>116.37</v>
      </c>
      <c r="C170" s="2">
        <v>116.17</v>
      </c>
      <c r="D170" s="2">
        <v>115.97</v>
      </c>
      <c r="E170" s="2">
        <v>115.76</v>
      </c>
    </row>
    <row r="171" spans="1:11" x14ac:dyDescent="0.2">
      <c r="A171" s="2">
        <v>8.4499999999999993</v>
      </c>
      <c r="B171" s="2">
        <v>117.11</v>
      </c>
      <c r="C171" s="2">
        <v>116.9</v>
      </c>
      <c r="D171" s="2">
        <v>116.7</v>
      </c>
      <c r="E171" s="2">
        <v>116.49</v>
      </c>
    </row>
    <row r="172" spans="1:11" x14ac:dyDescent="0.2">
      <c r="A172" s="2">
        <v>8.5</v>
      </c>
      <c r="B172" s="2">
        <v>117.84</v>
      </c>
      <c r="C172" s="2">
        <v>117.63</v>
      </c>
      <c r="D172" s="2">
        <v>117.42</v>
      </c>
      <c r="E172" s="2">
        <v>117.21</v>
      </c>
    </row>
    <row r="173" spans="1:11" x14ac:dyDescent="0.2">
      <c r="A173" s="2">
        <v>8.5500000000000007</v>
      </c>
      <c r="B173" s="2">
        <v>118.57</v>
      </c>
      <c r="C173" s="2">
        <v>118.36</v>
      </c>
      <c r="D173" s="2">
        <v>118.15</v>
      </c>
      <c r="E173" s="2">
        <v>117.95</v>
      </c>
    </row>
    <row r="174" spans="1:11" x14ac:dyDescent="0.2">
      <c r="A174" s="2">
        <v>8.6</v>
      </c>
      <c r="B174" s="2">
        <v>119.3</v>
      </c>
      <c r="C174" s="2">
        <v>119.09</v>
      </c>
      <c r="D174" s="2">
        <v>118.88</v>
      </c>
      <c r="E174" s="2">
        <v>118.68</v>
      </c>
    </row>
    <row r="175" spans="1:11" x14ac:dyDescent="0.2">
      <c r="A175" s="2">
        <v>8.65</v>
      </c>
      <c r="B175" s="2">
        <v>120.03</v>
      </c>
      <c r="C175" s="2">
        <v>119.82</v>
      </c>
      <c r="D175" s="2">
        <v>119.62</v>
      </c>
      <c r="E175" s="2">
        <v>119.41</v>
      </c>
    </row>
    <row r="176" spans="1:11" x14ac:dyDescent="0.2">
      <c r="A176" s="2">
        <v>8.6999999999999993</v>
      </c>
      <c r="B176" s="2">
        <v>120.76</v>
      </c>
      <c r="C176" s="2">
        <v>120.55</v>
      </c>
      <c r="D176" s="2">
        <v>120.35</v>
      </c>
      <c r="E176" s="2">
        <v>120.14</v>
      </c>
    </row>
    <row r="177" spans="1:5" x14ac:dyDescent="0.2">
      <c r="A177" s="2">
        <v>8.75</v>
      </c>
      <c r="B177" s="2">
        <v>121.49</v>
      </c>
      <c r="C177" s="2">
        <v>121.29</v>
      </c>
      <c r="D177" s="2">
        <v>121.09</v>
      </c>
      <c r="E177" s="2">
        <v>120.89</v>
      </c>
    </row>
    <row r="178" spans="1:5" x14ac:dyDescent="0.2">
      <c r="A178" s="2">
        <v>8.8000000000000007</v>
      </c>
      <c r="B178" s="2">
        <v>122.23</v>
      </c>
      <c r="C178" s="2">
        <v>122.03</v>
      </c>
      <c r="D178" s="2">
        <v>121.83</v>
      </c>
      <c r="E178" s="2">
        <v>121.63</v>
      </c>
    </row>
    <row r="179" spans="1:5" x14ac:dyDescent="0.2">
      <c r="A179" s="2">
        <v>8.85</v>
      </c>
      <c r="B179" s="2">
        <v>122.96</v>
      </c>
      <c r="C179" s="2">
        <v>122.76</v>
      </c>
      <c r="D179" s="2">
        <v>122.56</v>
      </c>
      <c r="E179" s="2">
        <v>122.36</v>
      </c>
    </row>
    <row r="180" spans="1:5" x14ac:dyDescent="0.2">
      <c r="A180" s="2">
        <v>8.9</v>
      </c>
      <c r="B180" s="2">
        <v>123.69</v>
      </c>
      <c r="C180" s="2">
        <v>123.49</v>
      </c>
      <c r="D180" s="2">
        <v>123.29</v>
      </c>
      <c r="E180" s="2">
        <v>123.09</v>
      </c>
    </row>
    <row r="181" spans="1:5" x14ac:dyDescent="0.2">
      <c r="A181" s="2">
        <v>8.9499999999999993</v>
      </c>
      <c r="B181" s="2">
        <v>124.42</v>
      </c>
      <c r="C181" s="2">
        <v>124.22</v>
      </c>
      <c r="D181" s="2">
        <v>124.02</v>
      </c>
      <c r="E181" s="2">
        <v>123.82</v>
      </c>
    </row>
    <row r="182" spans="1:5" x14ac:dyDescent="0.2">
      <c r="A182" s="2">
        <v>9</v>
      </c>
      <c r="B182" s="2">
        <v>125.15</v>
      </c>
      <c r="C182" s="2">
        <v>124.95</v>
      </c>
      <c r="D182" s="2">
        <v>124.74</v>
      </c>
      <c r="E182" s="2">
        <v>124.54</v>
      </c>
    </row>
    <row r="183" spans="1:5" x14ac:dyDescent="0.2">
      <c r="A183" s="2">
        <v>9.0500000000000007</v>
      </c>
      <c r="B183" s="2">
        <v>125.88</v>
      </c>
      <c r="C183" s="2">
        <v>125.68</v>
      </c>
      <c r="D183" s="2">
        <v>125.47</v>
      </c>
      <c r="E183" s="2">
        <v>125.27</v>
      </c>
    </row>
    <row r="184" spans="1:5" x14ac:dyDescent="0.2">
      <c r="A184" s="2">
        <v>9.1</v>
      </c>
      <c r="B184" s="2">
        <v>126.61</v>
      </c>
      <c r="C184" s="2">
        <v>126.41</v>
      </c>
      <c r="D184" s="2">
        <v>126.21</v>
      </c>
      <c r="E184" s="2">
        <v>126</v>
      </c>
    </row>
    <row r="185" spans="1:5" x14ac:dyDescent="0.2">
      <c r="A185" s="2">
        <v>9.15</v>
      </c>
      <c r="B185" s="2">
        <v>127.34</v>
      </c>
      <c r="C185" s="2">
        <v>127.14</v>
      </c>
      <c r="D185" s="2">
        <v>126.94</v>
      </c>
      <c r="E185" s="2">
        <v>126.73</v>
      </c>
    </row>
    <row r="186" spans="1:5" x14ac:dyDescent="0.2">
      <c r="A186" s="2">
        <v>9.1999999999999993</v>
      </c>
      <c r="B186" s="2">
        <v>128.08000000000001</v>
      </c>
      <c r="C186" s="2">
        <v>127.87</v>
      </c>
      <c r="D186" s="2">
        <v>127.67</v>
      </c>
      <c r="E186" s="2">
        <v>127.46</v>
      </c>
    </row>
    <row r="187" spans="1:5" x14ac:dyDescent="0.2">
      <c r="A187" s="2">
        <v>9.25</v>
      </c>
      <c r="B187" s="2">
        <v>128.81</v>
      </c>
      <c r="C187" s="2">
        <v>128.6</v>
      </c>
      <c r="D187" s="2">
        <v>128.4</v>
      </c>
      <c r="E187" s="2">
        <v>128.19999999999999</v>
      </c>
    </row>
    <row r="188" spans="1:5" x14ac:dyDescent="0.2">
      <c r="A188" s="2">
        <v>9.3000000000000007</v>
      </c>
      <c r="B188" s="2">
        <v>129.54</v>
      </c>
      <c r="C188" s="2">
        <v>129.33000000000001</v>
      </c>
      <c r="D188" s="2">
        <v>129.13</v>
      </c>
      <c r="E188" s="2">
        <v>128.93</v>
      </c>
    </row>
    <row r="189" spans="1:5" x14ac:dyDescent="0.2">
      <c r="A189" s="2">
        <v>9.35</v>
      </c>
      <c r="B189" s="2">
        <v>130.27000000000001</v>
      </c>
      <c r="C189" s="2">
        <v>130.07</v>
      </c>
      <c r="D189" s="2">
        <v>129.86000000000001</v>
      </c>
      <c r="E189" s="2">
        <v>129.66</v>
      </c>
    </row>
    <row r="190" spans="1:5" x14ac:dyDescent="0.2">
      <c r="A190" s="2">
        <v>9.4</v>
      </c>
      <c r="B190" s="2">
        <v>131</v>
      </c>
      <c r="C190" s="2">
        <v>130.80000000000001</v>
      </c>
      <c r="D190" s="2">
        <v>130.59</v>
      </c>
      <c r="E190" s="2">
        <v>130.38999999999999</v>
      </c>
    </row>
    <row r="191" spans="1:5" x14ac:dyDescent="0.2">
      <c r="A191" s="2">
        <v>9.4499999999999993</v>
      </c>
      <c r="B191" s="2">
        <v>131.72999999999999</v>
      </c>
      <c r="C191" s="2">
        <v>131.53</v>
      </c>
      <c r="D191" s="2">
        <v>131.32</v>
      </c>
      <c r="E191" s="2">
        <v>131.12</v>
      </c>
    </row>
    <row r="192" spans="1:5" x14ac:dyDescent="0.2">
      <c r="A192" s="2">
        <v>9.5</v>
      </c>
      <c r="B192" s="2">
        <v>132.46</v>
      </c>
      <c r="C192" s="2">
        <v>132.26</v>
      </c>
      <c r="D192" s="2">
        <v>132.05000000000001</v>
      </c>
      <c r="E192" s="2">
        <v>131.84</v>
      </c>
    </row>
    <row r="193" spans="1:5" x14ac:dyDescent="0.2">
      <c r="A193" s="2">
        <v>9.5500000000000007</v>
      </c>
      <c r="B193" s="2">
        <v>133.19999999999999</v>
      </c>
      <c r="C193" s="2">
        <v>132.99</v>
      </c>
      <c r="D193" s="2">
        <v>132.78</v>
      </c>
      <c r="E193" s="2">
        <v>132.54</v>
      </c>
    </row>
    <row r="194" spans="1:5" x14ac:dyDescent="0.2">
      <c r="A194" s="2">
        <v>9.6</v>
      </c>
      <c r="B194" s="2">
        <v>133.93</v>
      </c>
      <c r="C194" s="2">
        <v>133.72</v>
      </c>
      <c r="D194" s="2">
        <v>133.51</v>
      </c>
      <c r="E194" s="2">
        <v>133.30000000000001</v>
      </c>
    </row>
    <row r="195" spans="1:5" x14ac:dyDescent="0.2">
      <c r="A195" s="2">
        <v>9.65</v>
      </c>
      <c r="B195" s="2">
        <v>134.66</v>
      </c>
      <c r="C195" s="2">
        <v>134.44999999999999</v>
      </c>
      <c r="D195" s="2">
        <v>134.24</v>
      </c>
      <c r="E195" s="2">
        <v>134.03</v>
      </c>
    </row>
    <row r="196" spans="1:5" x14ac:dyDescent="0.2">
      <c r="A196" s="2">
        <v>9.6999999999999993</v>
      </c>
      <c r="B196" s="2">
        <v>135.38999999999999</v>
      </c>
      <c r="C196" s="2">
        <v>135.18</v>
      </c>
      <c r="D196" s="2">
        <v>134.97</v>
      </c>
      <c r="E196" s="2">
        <v>134.77000000000001</v>
      </c>
    </row>
    <row r="197" spans="1:5" x14ac:dyDescent="0.2">
      <c r="A197" s="2">
        <v>9.75</v>
      </c>
      <c r="B197" s="2">
        <v>136.12</v>
      </c>
      <c r="C197" s="2">
        <v>135.93</v>
      </c>
      <c r="D197" s="2">
        <v>135.74</v>
      </c>
      <c r="E197" s="2">
        <v>135.54</v>
      </c>
    </row>
    <row r="198" spans="1:5" x14ac:dyDescent="0.2">
      <c r="A198" s="2">
        <v>9.8000000000000007</v>
      </c>
      <c r="B198" s="2">
        <v>136.85</v>
      </c>
      <c r="C198" s="2">
        <v>136.66</v>
      </c>
      <c r="D198" s="2">
        <v>136.47</v>
      </c>
      <c r="E198" s="2">
        <v>136.27000000000001</v>
      </c>
    </row>
    <row r="199" spans="1:5" x14ac:dyDescent="0.2">
      <c r="A199" s="2">
        <v>9.85</v>
      </c>
      <c r="B199" s="2">
        <v>137.58000000000001</v>
      </c>
      <c r="C199" s="2">
        <v>137.36000000000001</v>
      </c>
      <c r="D199" s="2">
        <v>137.12</v>
      </c>
      <c r="E199" s="2">
        <v>136.88999999999999</v>
      </c>
    </row>
    <row r="200" spans="1:5" x14ac:dyDescent="0.2">
      <c r="A200" s="2">
        <v>9.9</v>
      </c>
      <c r="B200" s="2">
        <v>138.05000000000001</v>
      </c>
      <c r="C200" s="2">
        <v>137.94</v>
      </c>
      <c r="D200" s="2">
        <v>137.78</v>
      </c>
      <c r="E200" s="2">
        <v>137.58000000000001</v>
      </c>
    </row>
    <row r="201" spans="1:5" x14ac:dyDescent="0.2">
      <c r="A201" s="2">
        <v>9.9499999999999993</v>
      </c>
      <c r="B201" s="2">
        <v>138.34</v>
      </c>
      <c r="C201" s="2">
        <v>138.28</v>
      </c>
      <c r="D201" s="2">
        <v>138.21</v>
      </c>
      <c r="E201" s="2">
        <v>138.05000000000001</v>
      </c>
    </row>
    <row r="202" spans="1:5" x14ac:dyDescent="0.2">
      <c r="A202" s="2">
        <v>10</v>
      </c>
      <c r="B202" s="2">
        <v>138.34</v>
      </c>
      <c r="C202" s="2">
        <v>138.34</v>
      </c>
      <c r="D202" s="2">
        <v>138.32</v>
      </c>
      <c r="E202" s="2">
        <v>138.25</v>
      </c>
    </row>
    <row r="203" spans="1:5" x14ac:dyDescent="0.2">
      <c r="A203" s="2">
        <v>10.050000000000001</v>
      </c>
      <c r="B203" s="2">
        <v>138.34</v>
      </c>
      <c r="C203" s="2">
        <v>138.34</v>
      </c>
      <c r="D203" s="2">
        <v>138.34</v>
      </c>
      <c r="E203" s="2">
        <v>138.32</v>
      </c>
    </row>
    <row r="204" spans="1:5" x14ac:dyDescent="0.2">
      <c r="A204" s="2">
        <v>10.1</v>
      </c>
      <c r="B204" s="2">
        <v>138.34</v>
      </c>
      <c r="C204" s="2">
        <v>138.34</v>
      </c>
      <c r="D204" s="2">
        <v>138.34</v>
      </c>
      <c r="E204" s="2">
        <v>138.34</v>
      </c>
    </row>
    <row r="205" spans="1:5" x14ac:dyDescent="0.2">
      <c r="A205" s="2">
        <v>10.15</v>
      </c>
      <c r="B205" s="2">
        <v>138.34</v>
      </c>
      <c r="C205" s="2">
        <v>138.34</v>
      </c>
      <c r="D205" s="2">
        <v>138.34</v>
      </c>
      <c r="E205" s="2">
        <v>138.34</v>
      </c>
    </row>
  </sheetData>
  <sheetProtection sheet="1" objects="1" scenarios="1"/>
  <conditionalFormatting sqref="B2:F205">
    <cfRule type="expression" dxfId="17" priority="2" stopIfTrue="1">
      <formula>IF(AND(OR($A2=$L$4,$A2=$L$6),OR(B$1=$M$3,B$1=$O$3),OR(B2=$M$4,B2=$M$6,B2=$O$4,B2=$O$6)),TRUE,FALSE)</formula>
    </cfRule>
  </conditionalFormatting>
  <conditionalFormatting sqref="A1:A65536">
    <cfRule type="expression" dxfId="16" priority="3" stopIfTrue="1">
      <formula>IF(OR($A1=$L$4,$A1=$L$6),TRUE,FALSE)</formula>
    </cfRule>
  </conditionalFormatting>
  <conditionalFormatting sqref="B1:E1">
    <cfRule type="expression" dxfId="15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1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2">
        <v>0.14000000000000001</v>
      </c>
      <c r="C2" s="2">
        <v>0.09</v>
      </c>
      <c r="D2" s="2">
        <v>0.09</v>
      </c>
      <c r="E2" s="2">
        <v>0.13</v>
      </c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2">
        <v>0.34</v>
      </c>
      <c r="C3" s="2">
        <v>0.32</v>
      </c>
      <c r="D3" s="2">
        <v>0.32</v>
      </c>
      <c r="E3" s="2">
        <v>0.33</v>
      </c>
      <c r="J3" s="6">
        <v>10.305</v>
      </c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2">
        <v>0.63</v>
      </c>
      <c r="C4" s="2">
        <v>0.57999999999999996</v>
      </c>
      <c r="D4" s="2">
        <v>0.55000000000000004</v>
      </c>
      <c r="E4" s="2">
        <v>0.52</v>
      </c>
      <c r="K4" s="2"/>
      <c r="L4" s="2">
        <f>IF(O8=0.05,L5,L5-O8)</f>
        <v>7.75</v>
      </c>
      <c r="M4" s="2">
        <f>VLOOKUP(ROUNDDOWN(L4,2),A:F,MATCH(M3,B1:F1,0)+1,FALSE)</f>
        <v>106.33</v>
      </c>
      <c r="N4" s="2">
        <f>IF(($O$3-$M$3)&gt;0,M4+(($N$3-$M$3)*(O4-M4)/($O$3-$M$3)),M4)</f>
        <v>106.22999999999999</v>
      </c>
      <c r="O4" s="2">
        <f>VLOOKUP(ROUNDDOWN($L$4,2),A:F,MATCH(O$3,B1:F1,0)+1,FALSE)</f>
        <v>106.13</v>
      </c>
    </row>
    <row r="5" spans="1:16" x14ac:dyDescent="0.2">
      <c r="A5" s="2">
        <v>0.15</v>
      </c>
      <c r="B5" s="2">
        <v>0.91</v>
      </c>
      <c r="C5" s="2">
        <v>0.84</v>
      </c>
      <c r="D5" s="2">
        <v>0.78</v>
      </c>
      <c r="E5" s="2">
        <v>0.72</v>
      </c>
      <c r="K5" s="2"/>
      <c r="L5" s="6">
        <f>ROUND(J3-Before!E14,3)</f>
        <v>7.7549999999999999</v>
      </c>
      <c r="M5" s="1" t="s">
        <v>1</v>
      </c>
      <c r="N5" s="2">
        <f>IF(($L$6-$L$4)&gt;0,N4+(($L$5-$L$4)*(N6-N4)/0.05),N4)</f>
        <v>106.30399999999999</v>
      </c>
      <c r="O5" s="1" t="s">
        <v>2</v>
      </c>
    </row>
    <row r="6" spans="1:16" x14ac:dyDescent="0.2">
      <c r="A6" s="2">
        <v>0.2</v>
      </c>
      <c r="B6" s="2">
        <v>1.19</v>
      </c>
      <c r="C6" s="2">
        <v>1.1000000000000001</v>
      </c>
      <c r="D6" s="2">
        <v>1.01</v>
      </c>
      <c r="E6" s="2">
        <v>0.92</v>
      </c>
      <c r="K6" s="2"/>
      <c r="L6" s="2">
        <f>IF(OR(O8=0.05,O8=0),L5,L5+(0.05-O8))</f>
        <v>7.8</v>
      </c>
      <c r="M6" s="2">
        <f>VLOOKUP(ROUND($L6,2),A:F,MATCH($M$3,B1:F1,0)+1,FALSE)</f>
        <v>107.07</v>
      </c>
      <c r="N6" s="2">
        <f>IF(($O$3-$M$3)&gt;0,M6+(($N$3-$M$3)*(O6-M6)/($O$3-$M$3)),M6)</f>
        <v>106.97</v>
      </c>
      <c r="O6" s="2">
        <f>VLOOKUP(ROUNDDOWN($L$6,2),A:F,MATCH($O$3,B1:F1,0)+1,FALSE)</f>
        <v>106.87</v>
      </c>
    </row>
    <row r="7" spans="1:16" x14ac:dyDescent="0.2">
      <c r="A7" s="2">
        <v>0.25</v>
      </c>
      <c r="B7" s="2">
        <v>1.48</v>
      </c>
      <c r="C7" s="2">
        <v>1.36</v>
      </c>
      <c r="D7" s="2">
        <v>1.27</v>
      </c>
      <c r="E7" s="2">
        <v>1.21</v>
      </c>
      <c r="K7" s="2"/>
      <c r="L7" s="2"/>
      <c r="M7" s="2"/>
      <c r="N7" s="2"/>
    </row>
    <row r="8" spans="1:16" x14ac:dyDescent="0.2">
      <c r="A8" s="2">
        <v>0.3</v>
      </c>
      <c r="B8" s="2">
        <v>1.84</v>
      </c>
      <c r="C8" s="2">
        <v>1.75</v>
      </c>
      <c r="D8" s="2">
        <v>1.67</v>
      </c>
      <c r="E8" s="2">
        <v>1.59</v>
      </c>
      <c r="K8" s="2"/>
      <c r="L8" s="2"/>
      <c r="M8" s="6">
        <f>(L5-INT(L5))*10</f>
        <v>7.5499999999999989</v>
      </c>
      <c r="N8" s="6">
        <f>ROUND((M8-INT(M8))*10,5)</f>
        <v>5.5</v>
      </c>
      <c r="O8" s="6">
        <f>IF(N8&gt;5,(N8-5)/100,N8/100)</f>
        <v>5.0000000000000001E-3</v>
      </c>
    </row>
    <row r="9" spans="1:16" x14ac:dyDescent="0.2">
      <c r="A9" s="2">
        <v>0.35</v>
      </c>
      <c r="B9" s="2">
        <v>2.27</v>
      </c>
      <c r="C9" s="2">
        <v>2.17</v>
      </c>
      <c r="D9" s="2">
        <v>2.0699999999999998</v>
      </c>
      <c r="E9" s="2">
        <v>1.97</v>
      </c>
      <c r="K9" s="2"/>
      <c r="L9" s="2"/>
    </row>
    <row r="10" spans="1:16" x14ac:dyDescent="0.2">
      <c r="A10" s="2">
        <v>0.4</v>
      </c>
      <c r="B10" s="2">
        <v>2.7</v>
      </c>
      <c r="C10" s="2">
        <v>2.58</v>
      </c>
      <c r="D10" s="2">
        <v>2.4700000000000002</v>
      </c>
      <c r="E10" s="2">
        <v>2.36</v>
      </c>
      <c r="K10" s="2"/>
      <c r="L10" s="2"/>
      <c r="N10" s="2"/>
    </row>
    <row r="11" spans="1:16" ht="15" x14ac:dyDescent="0.25">
      <c r="A11" s="2">
        <v>0.45</v>
      </c>
      <c r="B11" s="2">
        <v>3.13</v>
      </c>
      <c r="C11" s="2">
        <v>3</v>
      </c>
      <c r="D11" s="2">
        <v>2.87</v>
      </c>
      <c r="E11" s="2">
        <v>2.74</v>
      </c>
      <c r="K11" s="2"/>
      <c r="L11" s="219"/>
      <c r="M11" s="219">
        <v>0</v>
      </c>
      <c r="N11" s="219">
        <v>1</v>
      </c>
      <c r="O11" s="220">
        <v>2</v>
      </c>
      <c r="P11" s="4">
        <v>3</v>
      </c>
    </row>
    <row r="12" spans="1:16" ht="15" x14ac:dyDescent="0.25">
      <c r="A12" s="2">
        <v>0.5</v>
      </c>
      <c r="B12" s="2">
        <v>3.56</v>
      </c>
      <c r="C12" s="2">
        <v>3.41</v>
      </c>
      <c r="D12" s="2">
        <v>3.29</v>
      </c>
      <c r="E12" s="2">
        <v>3.18</v>
      </c>
      <c r="K12" s="2"/>
      <c r="L12" s="219"/>
      <c r="M12" s="219">
        <f>LOOKUP(N15,B:B,A:A)</f>
        <v>7.7</v>
      </c>
      <c r="N12" s="219">
        <f>LOOKUP($N$15,C:C,$A:$A)</f>
        <v>7.7</v>
      </c>
      <c r="O12" s="219">
        <f>LOOKUP($N$15,D:D,$A:$A)</f>
        <v>7.7</v>
      </c>
      <c r="P12" s="219">
        <f>LOOKUP($N$15,E:E,$A:$A)</f>
        <v>7.75</v>
      </c>
    </row>
    <row r="13" spans="1:16" ht="15" x14ac:dyDescent="0.25">
      <c r="A13" s="2">
        <v>0.55000000000000004</v>
      </c>
      <c r="B13" s="2">
        <v>4.03</v>
      </c>
      <c r="C13" s="2">
        <v>3.91</v>
      </c>
      <c r="D13" s="2">
        <v>3.79</v>
      </c>
      <c r="E13" s="2">
        <v>3.67</v>
      </c>
      <c r="K13" s="2"/>
      <c r="L13" s="219"/>
      <c r="M13" s="219">
        <f>INT(N13)</f>
        <v>2</v>
      </c>
      <c r="N13" s="219">
        <f>Before!O8</f>
        <v>2</v>
      </c>
      <c r="O13" s="219">
        <f>IF(M13=N13,N13,M13+1)</f>
        <v>2</v>
      </c>
    </row>
    <row r="14" spans="1:16" ht="15" x14ac:dyDescent="0.25">
      <c r="A14" s="2">
        <v>0.6</v>
      </c>
      <c r="B14" s="2">
        <v>4.5599999999999996</v>
      </c>
      <c r="C14" s="2">
        <v>4.42</v>
      </c>
      <c r="D14" s="2">
        <v>4.29</v>
      </c>
      <c r="E14" s="2">
        <v>4.16</v>
      </c>
      <c r="K14" s="2"/>
      <c r="L14">
        <f>HLOOKUP(M$13,$M$11:$P$12,2,FALSE)</f>
        <v>7.7</v>
      </c>
      <c r="M14" s="219">
        <f>VLOOKUP(ROUNDDOWN(L14,2),A:F,MATCH(M13,B1:F1,0)+1,FALSE)</f>
        <v>105.59</v>
      </c>
      <c r="N14" s="219">
        <f>IF(($O$13-$M$13)&gt;0,M14+(($N$13-$M$13)*(O14-M14)/($O$13-$M$13)),M14)</f>
        <v>105.59</v>
      </c>
      <c r="O14" s="219">
        <f>VLOOKUP(ROUNDDOWN(L14,2),A:F,MATCH(O$13,B1:F1,0)+1,FALSE)</f>
        <v>105.59</v>
      </c>
    </row>
    <row r="15" spans="1:16" ht="15" x14ac:dyDescent="0.25">
      <c r="A15" s="2">
        <v>0.65</v>
      </c>
      <c r="B15" s="2">
        <v>5.08</v>
      </c>
      <c r="C15" s="2">
        <v>4.93</v>
      </c>
      <c r="D15" s="2">
        <v>4.79</v>
      </c>
      <c r="E15" s="2">
        <v>4.6500000000000004</v>
      </c>
      <c r="K15" s="6">
        <f>J3-L15</f>
        <v>2.5567567567567568</v>
      </c>
      <c r="L15" s="221">
        <f>L14+((N15-N14)*ABS(L16-L14))/(N16-N14)</f>
        <v>7.7482432432432429</v>
      </c>
      <c r="M15" s="222" t="s">
        <v>97</v>
      </c>
      <c r="N15" s="219">
        <f>Before!M14</f>
        <v>106.30399999999999</v>
      </c>
      <c r="O15" s="222" t="s">
        <v>98</v>
      </c>
    </row>
    <row r="16" spans="1:16" ht="15" x14ac:dyDescent="0.25">
      <c r="A16" s="2">
        <v>0.7</v>
      </c>
      <c r="B16" s="2">
        <v>5.6</v>
      </c>
      <c r="C16" s="2">
        <v>5.45</v>
      </c>
      <c r="D16" s="2">
        <v>5.29</v>
      </c>
      <c r="E16" s="2">
        <v>5.14</v>
      </c>
      <c r="L16" s="219">
        <f>IF(N15&gt;M14,L14+0.05,L14-0.05)</f>
        <v>7.75</v>
      </c>
      <c r="M16" s="219">
        <f>VLOOKUP(ROUNDDOWN(L16,2),A:F,MATCH(M13,B1:F1,0)+1,FALSE)</f>
        <v>106.33</v>
      </c>
      <c r="N16" s="219">
        <f>IF(($O$13-$M$13)&gt;0,M16+(($N$13-$M$13)*(O16-M16)/($O$13-$M$13)),M16)</f>
        <v>106.33</v>
      </c>
      <c r="O16" s="219">
        <f>VLOOKUP(ROUNDDOWN(L16,2),A:F,MATCH(O$13,B1:F1,0)+1,FALSE)</f>
        <v>106.33</v>
      </c>
    </row>
    <row r="17" spans="1:15" x14ac:dyDescent="0.2">
      <c r="A17" s="2">
        <v>0.75</v>
      </c>
      <c r="B17" s="2">
        <v>6.12</v>
      </c>
      <c r="C17" s="2">
        <v>5.96</v>
      </c>
      <c r="D17" s="2">
        <v>5.81</v>
      </c>
      <c r="E17" s="2">
        <v>5.67</v>
      </c>
    </row>
    <row r="18" spans="1:15" x14ac:dyDescent="0.2">
      <c r="A18" s="2">
        <v>0.8</v>
      </c>
      <c r="B18" s="2">
        <v>6.68</v>
      </c>
      <c r="C18" s="2">
        <v>6.53</v>
      </c>
      <c r="D18" s="2">
        <v>6.38</v>
      </c>
      <c r="E18" s="2">
        <v>6.24</v>
      </c>
    </row>
    <row r="19" spans="1:15" x14ac:dyDescent="0.2">
      <c r="A19" s="2">
        <v>0.85</v>
      </c>
      <c r="B19" s="2">
        <v>7.27</v>
      </c>
      <c r="C19" s="2">
        <v>7.11</v>
      </c>
      <c r="D19" s="2">
        <v>6.96</v>
      </c>
      <c r="E19" s="2">
        <v>6.81</v>
      </c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2">
        <v>7.85</v>
      </c>
      <c r="C20" s="2">
        <v>7.69</v>
      </c>
      <c r="D20" s="2">
        <v>7.53</v>
      </c>
      <c r="E20" s="2">
        <v>7.37</v>
      </c>
      <c r="L20" s="2">
        <f>IF(O24=0.05,L21,L21-O24)</f>
        <v>8.5</v>
      </c>
      <c r="M20" s="2">
        <f>VLOOKUP(ROUNDDOWN(L20,2),A:F,MATCH(M19,B1:F1,0)+1,FALSE)</f>
        <v>117.29</v>
      </c>
      <c r="N20" s="2">
        <f>IF(($O$19-$M$19)&gt;0,M20+(($N$19-$M$19)*(O20-M20)/($O$19-$M$19)),M20)</f>
        <v>117.29</v>
      </c>
      <c r="O20" s="2">
        <f>VLOOKUP(ROUNDDOWN($L$20,2),A:F,MATCH(O$19,B1:F1,0)+1,FALSE)</f>
        <v>117.29</v>
      </c>
    </row>
    <row r="21" spans="1:15" x14ac:dyDescent="0.2">
      <c r="A21" s="2">
        <v>0.95</v>
      </c>
      <c r="B21" s="2">
        <v>8.44</v>
      </c>
      <c r="C21" s="2">
        <v>8.27</v>
      </c>
      <c r="D21" s="2">
        <v>8.1</v>
      </c>
      <c r="E21" s="2">
        <v>7.94</v>
      </c>
      <c r="L21" s="6">
        <f>ROUND(J3-After!L5,3)</f>
        <v>8.5150000000000006</v>
      </c>
      <c r="M21" s="1" t="s">
        <v>1</v>
      </c>
      <c r="N21" s="2">
        <f>IF(($L$22-$L$20)&gt;0,N20+(($L$21-$L$20)*(N22-N20)/0.05),N20)</f>
        <v>117.50900000000001</v>
      </c>
      <c r="O21" s="1" t="s">
        <v>2</v>
      </c>
    </row>
    <row r="22" spans="1:15" x14ac:dyDescent="0.2">
      <c r="A22" s="2">
        <v>1</v>
      </c>
      <c r="B22" s="2">
        <v>9.0299999999999994</v>
      </c>
      <c r="C22" s="2">
        <v>8.85</v>
      </c>
      <c r="D22" s="2">
        <v>8.69</v>
      </c>
      <c r="E22" s="2">
        <v>8.5299999999999994</v>
      </c>
      <c r="L22" s="2">
        <f>IF(OR(O24=0.05,O24=0),L21,L21+(0.05-O24))</f>
        <v>8.5500000000000007</v>
      </c>
      <c r="M22" s="2">
        <f>VLOOKUP(ROUND($L22,2),A:F,MATCH($M$19,B1:F1,0)+1,FALSE)</f>
        <v>118.02</v>
      </c>
      <c r="N22" s="2">
        <f>IF(($O$19-$M$19)&gt;0,M22+(($N$19-$M$19)*(O22-M22)/($O$3-$M$19)),M22)</f>
        <v>118.02</v>
      </c>
      <c r="O22" s="2">
        <f>VLOOKUP(ROUNDDOWN($L$22,2),A:F,MATCH($O$19,B1:F1,0)+1,FALSE)</f>
        <v>118.02</v>
      </c>
    </row>
    <row r="23" spans="1:15" x14ac:dyDescent="0.2">
      <c r="A23" s="2">
        <v>1.05</v>
      </c>
      <c r="B23" s="2">
        <v>9.64</v>
      </c>
      <c r="C23" s="2">
        <v>9.48</v>
      </c>
      <c r="D23" s="2">
        <v>9.31</v>
      </c>
      <c r="E23" s="2">
        <v>9.15</v>
      </c>
      <c r="L23" s="2"/>
      <c r="M23" s="2"/>
      <c r="N23" s="2"/>
    </row>
    <row r="24" spans="1:15" x14ac:dyDescent="0.2">
      <c r="A24" s="2">
        <v>1.1000000000000001</v>
      </c>
      <c r="B24" s="2">
        <v>10.28</v>
      </c>
      <c r="C24" s="2">
        <v>10.11</v>
      </c>
      <c r="D24" s="2">
        <v>9.94</v>
      </c>
      <c r="E24" s="2">
        <v>9.77</v>
      </c>
      <c r="L24" s="2"/>
      <c r="M24" s="6">
        <f>(L21-INT(L21))*10</f>
        <v>5.1500000000000057</v>
      </c>
      <c r="N24" s="6">
        <f>ROUND((M24-INT(M24))*10,5)</f>
        <v>1.5</v>
      </c>
      <c r="O24" s="6">
        <f>IF(N24&gt;5,(N24-5)/100,N24/100)</f>
        <v>1.4999999999999999E-2</v>
      </c>
    </row>
    <row r="25" spans="1:15" x14ac:dyDescent="0.2">
      <c r="A25" s="2">
        <v>1.1499999999999999</v>
      </c>
      <c r="B25" s="2">
        <v>10.92</v>
      </c>
      <c r="C25" s="2">
        <v>10.74</v>
      </c>
      <c r="D25" s="2">
        <v>10.56</v>
      </c>
      <c r="E25" s="2">
        <v>10.39</v>
      </c>
    </row>
    <row r="26" spans="1:15" x14ac:dyDescent="0.2">
      <c r="A26" s="2">
        <v>1.2</v>
      </c>
      <c r="B26" s="2">
        <v>11.56</v>
      </c>
      <c r="C26" s="2">
        <v>11.37</v>
      </c>
      <c r="D26" s="2">
        <v>11.19</v>
      </c>
      <c r="E26" s="2">
        <v>11.01</v>
      </c>
    </row>
    <row r="27" spans="1:15" x14ac:dyDescent="0.2">
      <c r="A27" s="2">
        <v>1.25</v>
      </c>
      <c r="B27" s="2">
        <v>12.19</v>
      </c>
      <c r="C27" s="2">
        <v>12</v>
      </c>
      <c r="D27" s="2">
        <v>11.82</v>
      </c>
      <c r="E27" s="2">
        <v>11.65</v>
      </c>
    </row>
    <row r="28" spans="1:15" x14ac:dyDescent="0.2">
      <c r="A28" s="2">
        <v>1.3</v>
      </c>
      <c r="B28" s="2">
        <v>12.85</v>
      </c>
      <c r="C28" s="2">
        <v>12.67</v>
      </c>
      <c r="D28" s="2">
        <v>12.49</v>
      </c>
      <c r="E28" s="2">
        <v>12.32</v>
      </c>
    </row>
    <row r="29" spans="1:15" x14ac:dyDescent="0.2">
      <c r="A29" s="2">
        <v>1.35</v>
      </c>
      <c r="B29" s="2">
        <v>13.53</v>
      </c>
      <c r="C29" s="2">
        <v>13.34</v>
      </c>
      <c r="D29" s="2">
        <v>13.16</v>
      </c>
      <c r="E29" s="2">
        <v>12.98</v>
      </c>
    </row>
    <row r="30" spans="1:15" x14ac:dyDescent="0.2">
      <c r="A30" s="2">
        <v>1.4</v>
      </c>
      <c r="B30" s="2">
        <v>14.21</v>
      </c>
      <c r="C30" s="2">
        <v>14.02</v>
      </c>
      <c r="D30" s="2">
        <v>13.83</v>
      </c>
      <c r="E30" s="2">
        <v>13.65</v>
      </c>
    </row>
    <row r="31" spans="1:15" x14ac:dyDescent="0.2">
      <c r="A31" s="2">
        <v>1.45</v>
      </c>
      <c r="B31" s="2">
        <v>14.88</v>
      </c>
      <c r="C31" s="2">
        <v>14.69</v>
      </c>
      <c r="D31" s="2">
        <v>14.5</v>
      </c>
      <c r="E31" s="2">
        <v>14.31</v>
      </c>
    </row>
    <row r="32" spans="1:15" x14ac:dyDescent="0.2">
      <c r="A32" s="2">
        <v>1.5</v>
      </c>
      <c r="B32" s="2">
        <v>15.56</v>
      </c>
      <c r="C32" s="2">
        <v>15.37</v>
      </c>
      <c r="D32" s="2">
        <v>15.17</v>
      </c>
      <c r="E32" s="2">
        <v>14.99</v>
      </c>
      <c r="K32" s="2"/>
      <c r="L32" s="2"/>
    </row>
    <row r="33" spans="1:12" x14ac:dyDescent="0.2">
      <c r="A33" s="2">
        <v>1.55</v>
      </c>
      <c r="B33" s="2">
        <v>16.25</v>
      </c>
      <c r="C33" s="2">
        <v>16.059999999999999</v>
      </c>
      <c r="D33" s="2">
        <v>15.87</v>
      </c>
      <c r="E33" s="2">
        <v>15.68</v>
      </c>
      <c r="K33" s="2"/>
      <c r="L33" s="2"/>
    </row>
    <row r="34" spans="1:12" x14ac:dyDescent="0.2">
      <c r="A34" s="2">
        <v>1.6</v>
      </c>
      <c r="B34" s="2">
        <v>16.95</v>
      </c>
      <c r="C34" s="2">
        <v>16.760000000000002</v>
      </c>
      <c r="D34" s="2">
        <v>16.57</v>
      </c>
      <c r="E34" s="2">
        <v>16.38</v>
      </c>
      <c r="K34" s="2"/>
      <c r="L34" s="2"/>
    </row>
    <row r="35" spans="1:12" x14ac:dyDescent="0.2">
      <c r="A35" s="2">
        <v>1.65</v>
      </c>
      <c r="B35" s="2">
        <v>17.66</v>
      </c>
      <c r="C35" s="2">
        <v>17.46</v>
      </c>
      <c r="D35" s="2">
        <v>17.27</v>
      </c>
      <c r="E35" s="2">
        <v>17.07</v>
      </c>
      <c r="K35" s="2"/>
      <c r="L35" s="2"/>
    </row>
    <row r="36" spans="1:12" x14ac:dyDescent="0.2">
      <c r="A36" s="2">
        <v>1.7</v>
      </c>
      <c r="B36" s="2">
        <v>18.36</v>
      </c>
      <c r="C36" s="2">
        <v>18.16</v>
      </c>
      <c r="D36" s="2">
        <v>17.96</v>
      </c>
      <c r="E36" s="2">
        <v>17.760000000000002</v>
      </c>
      <c r="K36" s="2"/>
      <c r="L36" s="2"/>
    </row>
    <row r="37" spans="1:12" x14ac:dyDescent="0.2">
      <c r="A37" s="2">
        <v>1.75</v>
      </c>
      <c r="B37" s="2">
        <v>19.07</v>
      </c>
      <c r="C37" s="2">
        <v>18.86</v>
      </c>
      <c r="D37" s="2">
        <v>18.670000000000002</v>
      </c>
      <c r="E37" s="2">
        <v>18.47</v>
      </c>
      <c r="K37" s="2"/>
      <c r="L37" s="2"/>
    </row>
    <row r="38" spans="1:12" x14ac:dyDescent="0.2">
      <c r="A38" s="2">
        <v>1.8</v>
      </c>
      <c r="B38" s="2">
        <v>19.78</v>
      </c>
      <c r="C38" s="2">
        <v>19.579999999999998</v>
      </c>
      <c r="D38" s="2">
        <v>19.38</v>
      </c>
      <c r="E38" s="2">
        <v>19.190000000000001</v>
      </c>
      <c r="K38" s="2"/>
      <c r="L38" s="2"/>
    </row>
    <row r="39" spans="1:12" x14ac:dyDescent="0.2">
      <c r="A39" s="2">
        <v>1.85</v>
      </c>
      <c r="B39" s="2">
        <v>20.5</v>
      </c>
      <c r="C39" s="2">
        <v>20.3</v>
      </c>
      <c r="D39" s="2">
        <v>20.100000000000001</v>
      </c>
      <c r="E39" s="2">
        <v>19.91</v>
      </c>
      <c r="K39" s="2"/>
      <c r="L39" s="2"/>
    </row>
    <row r="40" spans="1:12" x14ac:dyDescent="0.2">
      <c r="A40" s="2">
        <v>1.9</v>
      </c>
      <c r="B40" s="2">
        <v>21.22</v>
      </c>
      <c r="C40" s="2">
        <v>21.02</v>
      </c>
      <c r="D40" s="2">
        <v>20.82</v>
      </c>
      <c r="E40" s="2">
        <v>20.62</v>
      </c>
      <c r="K40" s="2"/>
      <c r="L40" s="2"/>
    </row>
    <row r="41" spans="1:12" x14ac:dyDescent="0.2">
      <c r="A41" s="2">
        <v>1.95</v>
      </c>
      <c r="B41" s="2">
        <v>21.94</v>
      </c>
      <c r="C41" s="2">
        <v>21.74</v>
      </c>
      <c r="D41" s="2">
        <v>21.54</v>
      </c>
      <c r="E41" s="2">
        <v>21.34</v>
      </c>
      <c r="K41" s="2"/>
      <c r="L41" s="2"/>
    </row>
    <row r="42" spans="1:12" x14ac:dyDescent="0.2">
      <c r="A42" s="2">
        <v>2</v>
      </c>
      <c r="B42" s="2">
        <v>22.66</v>
      </c>
      <c r="C42" s="2">
        <v>22.46</v>
      </c>
      <c r="D42" s="2">
        <v>22.26</v>
      </c>
      <c r="E42" s="2">
        <v>22.06</v>
      </c>
      <c r="K42" s="2"/>
      <c r="L42" s="2"/>
    </row>
    <row r="43" spans="1:12" x14ac:dyDescent="0.2">
      <c r="A43" s="2">
        <v>2.0499999999999998</v>
      </c>
      <c r="B43" s="2">
        <v>23.38</v>
      </c>
      <c r="C43" s="2">
        <v>23.18</v>
      </c>
      <c r="D43" s="2">
        <v>22.98</v>
      </c>
      <c r="E43" s="2">
        <v>22.78</v>
      </c>
      <c r="K43" s="2"/>
      <c r="L43" s="2"/>
    </row>
    <row r="44" spans="1:12" x14ac:dyDescent="0.2">
      <c r="A44" s="2">
        <v>2.1</v>
      </c>
      <c r="B44" s="2">
        <v>24.11</v>
      </c>
      <c r="C44" s="2">
        <v>23.91</v>
      </c>
      <c r="D44" s="2">
        <v>23.71</v>
      </c>
      <c r="E44" s="2">
        <v>23.51</v>
      </c>
      <c r="K44" s="2"/>
      <c r="L44" s="2"/>
    </row>
    <row r="45" spans="1:12" x14ac:dyDescent="0.2">
      <c r="A45" s="2">
        <v>2.15</v>
      </c>
      <c r="B45" s="2">
        <v>24.84</v>
      </c>
      <c r="C45" s="2">
        <v>24.64</v>
      </c>
      <c r="D45" s="2">
        <v>24.43</v>
      </c>
      <c r="E45" s="2">
        <v>24.23</v>
      </c>
      <c r="K45" s="2"/>
      <c r="L45" s="2"/>
    </row>
    <row r="46" spans="1:12" x14ac:dyDescent="0.2">
      <c r="A46" s="2">
        <v>2.2000000000000002</v>
      </c>
      <c r="B46" s="2">
        <v>25.57</v>
      </c>
      <c r="C46" s="2">
        <v>25.36</v>
      </c>
      <c r="D46" s="2">
        <v>25.16</v>
      </c>
      <c r="E46" s="2">
        <v>24.96</v>
      </c>
      <c r="K46" s="2"/>
      <c r="L46" s="2"/>
    </row>
    <row r="47" spans="1:12" x14ac:dyDescent="0.2">
      <c r="A47" s="2">
        <v>2.25</v>
      </c>
      <c r="B47" s="2">
        <v>26.29</v>
      </c>
      <c r="C47" s="2">
        <v>26.09</v>
      </c>
      <c r="D47" s="2">
        <v>25.89</v>
      </c>
      <c r="E47" s="2">
        <v>25.68</v>
      </c>
      <c r="K47" s="2"/>
      <c r="L47" s="2"/>
    </row>
    <row r="48" spans="1:12" x14ac:dyDescent="0.2">
      <c r="A48" s="2">
        <v>2.2999999999999998</v>
      </c>
      <c r="B48" s="2">
        <v>27.02</v>
      </c>
      <c r="C48" s="2">
        <v>26.82</v>
      </c>
      <c r="D48" s="2">
        <v>26.62</v>
      </c>
      <c r="E48" s="2">
        <v>26.41</v>
      </c>
      <c r="K48" s="2"/>
      <c r="L48" s="2"/>
    </row>
    <row r="49" spans="1:12" x14ac:dyDescent="0.2">
      <c r="A49" s="2">
        <v>2.35</v>
      </c>
      <c r="B49" s="2">
        <v>27.75</v>
      </c>
      <c r="C49" s="2">
        <v>27.55</v>
      </c>
      <c r="D49" s="2">
        <v>27.35</v>
      </c>
      <c r="E49" s="2">
        <v>27.14</v>
      </c>
      <c r="K49" s="2"/>
      <c r="L49" s="2"/>
    </row>
    <row r="50" spans="1:12" x14ac:dyDescent="0.2">
      <c r="A50" s="2">
        <v>2.4</v>
      </c>
      <c r="B50" s="2">
        <v>28.48</v>
      </c>
      <c r="C50" s="2">
        <v>28.28</v>
      </c>
      <c r="D50" s="2">
        <v>28.08</v>
      </c>
      <c r="E50" s="2">
        <v>27.87</v>
      </c>
      <c r="K50" s="2"/>
      <c r="L50" s="2"/>
    </row>
    <row r="51" spans="1:12" x14ac:dyDescent="0.2">
      <c r="A51" s="2">
        <v>2.4500000000000002</v>
      </c>
      <c r="B51" s="2">
        <v>29.22</v>
      </c>
      <c r="C51" s="2">
        <v>29.01</v>
      </c>
      <c r="D51" s="2">
        <v>28.81</v>
      </c>
      <c r="E51" s="2">
        <v>28.61</v>
      </c>
    </row>
    <row r="52" spans="1:12" x14ac:dyDescent="0.2">
      <c r="A52" s="2">
        <v>2.5</v>
      </c>
      <c r="B52" s="2">
        <v>29.95</v>
      </c>
      <c r="C52" s="2">
        <v>29.74</v>
      </c>
      <c r="D52" s="2">
        <v>29.54</v>
      </c>
      <c r="E52" s="2">
        <v>29.33</v>
      </c>
    </row>
    <row r="53" spans="1:12" x14ac:dyDescent="0.2">
      <c r="A53" s="2">
        <v>2.5499999999999998</v>
      </c>
      <c r="B53" s="2">
        <v>30.68</v>
      </c>
      <c r="C53" s="2">
        <v>30.47</v>
      </c>
      <c r="D53" s="2">
        <v>30.27</v>
      </c>
      <c r="E53" s="2">
        <v>30.06</v>
      </c>
    </row>
    <row r="54" spans="1:12" x14ac:dyDescent="0.2">
      <c r="A54" s="2">
        <v>2.6</v>
      </c>
      <c r="B54" s="2">
        <v>31.41</v>
      </c>
      <c r="C54" s="2">
        <v>31.2</v>
      </c>
      <c r="D54" s="2">
        <v>31</v>
      </c>
      <c r="E54" s="2">
        <v>30.8</v>
      </c>
    </row>
    <row r="55" spans="1:12" x14ac:dyDescent="0.2">
      <c r="A55" s="2">
        <v>2.65</v>
      </c>
      <c r="B55" s="2">
        <v>32.14</v>
      </c>
      <c r="C55" s="2">
        <v>31.94</v>
      </c>
      <c r="D55" s="2">
        <v>31.73</v>
      </c>
      <c r="E55" s="2">
        <v>31.53</v>
      </c>
    </row>
    <row r="56" spans="1:12" x14ac:dyDescent="0.2">
      <c r="A56" s="2">
        <v>2.7</v>
      </c>
      <c r="B56" s="2">
        <v>32.869999999999997</v>
      </c>
      <c r="C56" s="2">
        <v>32.67</v>
      </c>
      <c r="D56" s="2">
        <v>32.46</v>
      </c>
      <c r="E56" s="2">
        <v>32.26</v>
      </c>
    </row>
    <row r="57" spans="1:12" x14ac:dyDescent="0.2">
      <c r="A57" s="2">
        <v>2.75</v>
      </c>
      <c r="B57" s="2">
        <v>33.6</v>
      </c>
      <c r="C57" s="2">
        <v>33.4</v>
      </c>
      <c r="D57" s="2">
        <v>33.200000000000003</v>
      </c>
      <c r="E57" s="2">
        <v>32.99</v>
      </c>
    </row>
    <row r="58" spans="1:12" x14ac:dyDescent="0.2">
      <c r="A58" s="2">
        <v>2.8</v>
      </c>
      <c r="B58" s="2">
        <v>34.33</v>
      </c>
      <c r="C58" s="2">
        <v>34.130000000000003</v>
      </c>
      <c r="D58" s="2">
        <v>33.93</v>
      </c>
      <c r="E58" s="2">
        <v>33.729999999999997</v>
      </c>
    </row>
    <row r="59" spans="1:12" x14ac:dyDescent="0.2">
      <c r="A59" s="2">
        <v>2.85</v>
      </c>
      <c r="B59" s="2">
        <v>35.06</v>
      </c>
      <c r="C59" s="2">
        <v>34.86</v>
      </c>
      <c r="D59" s="2">
        <v>34.659999999999997</v>
      </c>
      <c r="E59" s="2">
        <v>34.46</v>
      </c>
    </row>
    <row r="60" spans="1:12" x14ac:dyDescent="0.2">
      <c r="A60" s="2">
        <v>2.9</v>
      </c>
      <c r="B60" s="2">
        <v>35.799999999999997</v>
      </c>
      <c r="C60" s="2">
        <v>35.590000000000003</v>
      </c>
      <c r="D60" s="2">
        <v>35.39</v>
      </c>
      <c r="E60" s="2">
        <v>35.19</v>
      </c>
    </row>
    <row r="61" spans="1:12" x14ac:dyDescent="0.2">
      <c r="A61" s="2">
        <v>2.95</v>
      </c>
      <c r="B61" s="2">
        <v>36.53</v>
      </c>
      <c r="C61" s="2">
        <v>36.33</v>
      </c>
      <c r="D61" s="2">
        <v>36.119999999999997</v>
      </c>
      <c r="E61" s="2">
        <v>35.92</v>
      </c>
    </row>
    <row r="62" spans="1:12" x14ac:dyDescent="0.2">
      <c r="A62" s="2">
        <v>3</v>
      </c>
      <c r="B62" s="2">
        <v>37.26</v>
      </c>
      <c r="C62" s="2">
        <v>37.06</v>
      </c>
      <c r="D62" s="2">
        <v>36.85</v>
      </c>
      <c r="E62" s="2">
        <v>36.65</v>
      </c>
    </row>
    <row r="63" spans="1:12" x14ac:dyDescent="0.2">
      <c r="A63" s="2">
        <v>3.05</v>
      </c>
      <c r="B63" s="2">
        <v>37.99</v>
      </c>
      <c r="C63" s="2">
        <v>37.79</v>
      </c>
      <c r="D63" s="2">
        <v>37.58</v>
      </c>
      <c r="E63" s="2">
        <v>37.380000000000003</v>
      </c>
    </row>
    <row r="64" spans="1:12" x14ac:dyDescent="0.2">
      <c r="A64" s="2">
        <v>3.1</v>
      </c>
      <c r="B64" s="2">
        <v>38.72</v>
      </c>
      <c r="C64" s="2">
        <v>38.520000000000003</v>
      </c>
      <c r="D64" s="2">
        <v>38.31</v>
      </c>
      <c r="E64" s="2">
        <v>38.11</v>
      </c>
    </row>
    <row r="65" spans="1:5" x14ac:dyDescent="0.2">
      <c r="A65" s="2">
        <v>3.15</v>
      </c>
      <c r="B65" s="2">
        <v>39.450000000000003</v>
      </c>
      <c r="C65" s="2">
        <v>39.25</v>
      </c>
      <c r="D65" s="2">
        <v>39.049999999999997</v>
      </c>
      <c r="E65" s="2">
        <v>38.840000000000003</v>
      </c>
    </row>
    <row r="66" spans="1:5" x14ac:dyDescent="0.2">
      <c r="A66" s="2">
        <v>3.2</v>
      </c>
      <c r="B66" s="2">
        <v>40.18</v>
      </c>
      <c r="C66" s="2">
        <v>39.979999999999997</v>
      </c>
      <c r="D66" s="2">
        <v>39.78</v>
      </c>
      <c r="E66" s="2">
        <v>39.57</v>
      </c>
    </row>
    <row r="67" spans="1:5" x14ac:dyDescent="0.2">
      <c r="A67" s="2">
        <v>3.25</v>
      </c>
      <c r="B67" s="2">
        <v>40.92</v>
      </c>
      <c r="C67" s="2">
        <v>40.71</v>
      </c>
      <c r="D67" s="2">
        <v>40.51</v>
      </c>
      <c r="E67" s="2">
        <v>40.299999999999997</v>
      </c>
    </row>
    <row r="68" spans="1:5" x14ac:dyDescent="0.2">
      <c r="A68" s="2">
        <v>3.3</v>
      </c>
      <c r="B68" s="2">
        <v>41.65</v>
      </c>
      <c r="C68" s="2">
        <v>41.44</v>
      </c>
      <c r="D68" s="2">
        <v>41.24</v>
      </c>
      <c r="E68" s="2">
        <v>41.04</v>
      </c>
    </row>
    <row r="69" spans="1:5" x14ac:dyDescent="0.2">
      <c r="A69" s="2">
        <v>3.35</v>
      </c>
      <c r="B69" s="2">
        <v>42.38</v>
      </c>
      <c r="C69" s="2">
        <v>42.17</v>
      </c>
      <c r="D69" s="2">
        <v>41.97</v>
      </c>
      <c r="E69" s="2">
        <v>41.77</v>
      </c>
    </row>
    <row r="70" spans="1:5" x14ac:dyDescent="0.2">
      <c r="A70" s="2">
        <v>3.4</v>
      </c>
      <c r="B70" s="2">
        <v>43.11</v>
      </c>
      <c r="C70" s="2">
        <v>42.91</v>
      </c>
      <c r="D70" s="2">
        <v>42.7</v>
      </c>
      <c r="E70" s="2">
        <v>42.5</v>
      </c>
    </row>
    <row r="71" spans="1:5" x14ac:dyDescent="0.2">
      <c r="A71" s="2">
        <v>3.45</v>
      </c>
      <c r="B71" s="2">
        <v>43.84</v>
      </c>
      <c r="C71" s="2">
        <v>43.64</v>
      </c>
      <c r="D71" s="2">
        <v>43.43</v>
      </c>
      <c r="E71" s="2">
        <v>43.23</v>
      </c>
    </row>
    <row r="72" spans="1:5" x14ac:dyDescent="0.2">
      <c r="A72" s="2">
        <v>3.5</v>
      </c>
      <c r="B72" s="2">
        <v>44.57</v>
      </c>
      <c r="C72" s="2">
        <v>44.37</v>
      </c>
      <c r="D72" s="2">
        <v>44.16</v>
      </c>
      <c r="E72" s="2">
        <v>43.93</v>
      </c>
    </row>
    <row r="73" spans="1:5" x14ac:dyDescent="0.2">
      <c r="A73" s="2">
        <v>3.55</v>
      </c>
      <c r="B73" s="2">
        <v>45.3</v>
      </c>
      <c r="C73" s="2">
        <v>45.1</v>
      </c>
      <c r="D73" s="2">
        <v>44.89</v>
      </c>
      <c r="E73" s="2">
        <v>44.69</v>
      </c>
    </row>
    <row r="74" spans="1:5" x14ac:dyDescent="0.2">
      <c r="A74" s="2">
        <v>3.6</v>
      </c>
      <c r="B74" s="2">
        <v>46.03</v>
      </c>
      <c r="C74" s="2">
        <v>45.83</v>
      </c>
      <c r="D74" s="2">
        <v>45.62</v>
      </c>
      <c r="E74" s="2">
        <v>45.42</v>
      </c>
    </row>
    <row r="75" spans="1:5" x14ac:dyDescent="0.2">
      <c r="A75" s="2">
        <v>3.65</v>
      </c>
      <c r="B75" s="2">
        <v>46.77</v>
      </c>
      <c r="C75" s="2">
        <v>46.56</v>
      </c>
      <c r="D75" s="2">
        <v>46.36</v>
      </c>
      <c r="E75" s="2">
        <v>46.15</v>
      </c>
    </row>
    <row r="76" spans="1:5" x14ac:dyDescent="0.2">
      <c r="A76" s="2">
        <v>3.7</v>
      </c>
      <c r="B76" s="2">
        <v>47.5</v>
      </c>
      <c r="C76" s="2">
        <v>47.29</v>
      </c>
      <c r="D76" s="2">
        <v>47.09</v>
      </c>
      <c r="E76" s="2">
        <v>46.88</v>
      </c>
    </row>
    <row r="77" spans="1:5" x14ac:dyDescent="0.2">
      <c r="A77" s="2">
        <v>3.75</v>
      </c>
      <c r="B77" s="2">
        <v>48.23</v>
      </c>
      <c r="C77" s="2">
        <v>48.02</v>
      </c>
      <c r="D77" s="2">
        <v>47.82</v>
      </c>
      <c r="E77" s="2">
        <v>47.62</v>
      </c>
    </row>
    <row r="78" spans="1:5" x14ac:dyDescent="0.2">
      <c r="A78" s="2">
        <v>3.8</v>
      </c>
      <c r="B78" s="2">
        <v>48.96</v>
      </c>
      <c r="C78" s="2">
        <v>48.76</v>
      </c>
      <c r="D78" s="2">
        <v>48.56</v>
      </c>
      <c r="E78" s="2">
        <v>48.35</v>
      </c>
    </row>
    <row r="79" spans="1:5" x14ac:dyDescent="0.2">
      <c r="A79" s="2">
        <v>3.85</v>
      </c>
      <c r="B79" s="2">
        <v>49.69</v>
      </c>
      <c r="C79" s="2">
        <v>49.49</v>
      </c>
      <c r="D79" s="2">
        <v>49.29</v>
      </c>
      <c r="E79" s="2">
        <v>49.09</v>
      </c>
    </row>
    <row r="80" spans="1:5" x14ac:dyDescent="0.2">
      <c r="A80" s="2">
        <v>3.9</v>
      </c>
      <c r="B80" s="2">
        <v>20.420000000000002</v>
      </c>
      <c r="C80" s="2">
        <v>20.22</v>
      </c>
      <c r="D80" s="2">
        <v>50.02</v>
      </c>
      <c r="E80" s="2">
        <v>49.82</v>
      </c>
    </row>
    <row r="81" spans="1:5" x14ac:dyDescent="0.2">
      <c r="A81" s="2">
        <v>3.95</v>
      </c>
      <c r="B81" s="2">
        <v>51.15</v>
      </c>
      <c r="C81" s="2">
        <v>50.95</v>
      </c>
      <c r="D81" s="2">
        <v>50.75</v>
      </c>
      <c r="E81" s="2">
        <v>50.55</v>
      </c>
    </row>
    <row r="82" spans="1:5" x14ac:dyDescent="0.2">
      <c r="A82" s="2">
        <v>4</v>
      </c>
      <c r="B82" s="2">
        <v>51.89</v>
      </c>
      <c r="C82" s="2">
        <v>51.68</v>
      </c>
      <c r="D82" s="2">
        <v>51.48</v>
      </c>
      <c r="E82" s="2">
        <v>51.27</v>
      </c>
    </row>
    <row r="83" spans="1:5" x14ac:dyDescent="0.2">
      <c r="A83" s="2">
        <v>4.05</v>
      </c>
      <c r="B83" s="2">
        <v>52.62</v>
      </c>
      <c r="C83" s="2">
        <v>52.41</v>
      </c>
      <c r="D83" s="2">
        <v>52.21</v>
      </c>
      <c r="E83" s="2">
        <v>52.01</v>
      </c>
    </row>
    <row r="84" spans="1:5" x14ac:dyDescent="0.2">
      <c r="A84" s="2">
        <v>4.0999999999999996</v>
      </c>
      <c r="B84" s="2">
        <v>53.35</v>
      </c>
      <c r="C84" s="2">
        <v>53.14</v>
      </c>
      <c r="D84" s="2">
        <v>52.94</v>
      </c>
      <c r="E84" s="2">
        <v>52.47</v>
      </c>
    </row>
    <row r="85" spans="1:5" x14ac:dyDescent="0.2">
      <c r="A85" s="2">
        <v>4.1500000000000004</v>
      </c>
      <c r="B85" s="2">
        <v>54.08</v>
      </c>
      <c r="C85" s="2">
        <v>53.88</v>
      </c>
      <c r="D85" s="2">
        <v>53.67</v>
      </c>
      <c r="E85" s="2">
        <v>53.47</v>
      </c>
    </row>
    <row r="86" spans="1:5" x14ac:dyDescent="0.2">
      <c r="A86" s="2">
        <v>4.2</v>
      </c>
      <c r="B86" s="2">
        <v>54.81</v>
      </c>
      <c r="C86" s="2">
        <v>54.61</v>
      </c>
      <c r="D86" s="2">
        <v>54.4</v>
      </c>
      <c r="E86" s="2">
        <v>54.2</v>
      </c>
    </row>
    <row r="87" spans="1:5" x14ac:dyDescent="0.2">
      <c r="A87" s="2">
        <v>4.25</v>
      </c>
      <c r="B87" s="2">
        <v>55.54</v>
      </c>
      <c r="C87" s="2">
        <v>55.34</v>
      </c>
      <c r="D87" s="2">
        <v>55.13</v>
      </c>
      <c r="E87" s="2">
        <v>54.93</v>
      </c>
    </row>
    <row r="88" spans="1:5" x14ac:dyDescent="0.2">
      <c r="A88" s="2">
        <v>4.3</v>
      </c>
      <c r="B88" s="2">
        <v>56.27</v>
      </c>
      <c r="C88" s="2">
        <v>56.07</v>
      </c>
      <c r="D88" s="2">
        <v>55.87</v>
      </c>
      <c r="E88" s="2">
        <v>55.66</v>
      </c>
    </row>
    <row r="89" spans="1:5" x14ac:dyDescent="0.2">
      <c r="A89" s="2">
        <v>4.3499999999999996</v>
      </c>
      <c r="B89" s="2">
        <v>57</v>
      </c>
      <c r="C89" s="2">
        <v>56.8</v>
      </c>
      <c r="D89" s="2">
        <v>56.6</v>
      </c>
      <c r="E89" s="2">
        <v>56.39</v>
      </c>
    </row>
    <row r="90" spans="1:5" x14ac:dyDescent="0.2">
      <c r="A90" s="2">
        <v>4.4000000000000004</v>
      </c>
      <c r="B90" s="2">
        <v>57.74</v>
      </c>
      <c r="C90" s="2">
        <v>57.53</v>
      </c>
      <c r="D90" s="2">
        <v>57.33</v>
      </c>
      <c r="E90" s="2">
        <v>57.12</v>
      </c>
    </row>
    <row r="91" spans="1:5" x14ac:dyDescent="0.2">
      <c r="A91" s="2">
        <v>4.45</v>
      </c>
      <c r="B91" s="2">
        <v>58.47</v>
      </c>
      <c r="C91" s="2">
        <v>58.26</v>
      </c>
      <c r="D91" s="2">
        <v>58.06</v>
      </c>
      <c r="E91" s="2">
        <v>57.86</v>
      </c>
    </row>
    <row r="92" spans="1:5" x14ac:dyDescent="0.2">
      <c r="A92" s="2">
        <v>4.5</v>
      </c>
      <c r="B92" s="2">
        <v>59.2</v>
      </c>
      <c r="C92" s="2">
        <v>58.99</v>
      </c>
      <c r="D92" s="2">
        <v>58.79</v>
      </c>
      <c r="E92" s="2">
        <v>58.58</v>
      </c>
    </row>
    <row r="93" spans="1:5" x14ac:dyDescent="0.2">
      <c r="A93" s="2">
        <v>4.55</v>
      </c>
      <c r="B93" s="2">
        <v>59.93</v>
      </c>
      <c r="C93" s="2">
        <v>59.72</v>
      </c>
      <c r="D93" s="2">
        <v>59.52</v>
      </c>
      <c r="E93" s="2">
        <v>59.31</v>
      </c>
    </row>
    <row r="94" spans="1:5" x14ac:dyDescent="0.2">
      <c r="A94" s="2">
        <v>4.5999999999999996</v>
      </c>
      <c r="B94" s="2">
        <v>60.66</v>
      </c>
      <c r="C94" s="2">
        <v>60.46</v>
      </c>
      <c r="D94" s="2">
        <v>60.25</v>
      </c>
      <c r="E94" s="2">
        <v>60.04</v>
      </c>
    </row>
    <row r="95" spans="1:5" x14ac:dyDescent="0.2">
      <c r="A95" s="2">
        <v>4.6500000000000004</v>
      </c>
      <c r="B95" s="2">
        <v>61.39</v>
      </c>
      <c r="C95" s="2">
        <v>61.19</v>
      </c>
      <c r="D95" s="2">
        <v>60.98</v>
      </c>
      <c r="E95" s="2">
        <v>60.78</v>
      </c>
    </row>
    <row r="96" spans="1:5" x14ac:dyDescent="0.2">
      <c r="A96" s="2">
        <v>4.7</v>
      </c>
      <c r="B96" s="2">
        <v>62.12</v>
      </c>
      <c r="C96" s="2">
        <v>61.92</v>
      </c>
      <c r="D96" s="2">
        <v>61.71</v>
      </c>
      <c r="E96" s="2">
        <v>61.51</v>
      </c>
    </row>
    <row r="97" spans="1:5" x14ac:dyDescent="0.2">
      <c r="A97" s="2">
        <v>4.75</v>
      </c>
      <c r="B97" s="2">
        <v>62.86</v>
      </c>
      <c r="C97" s="2">
        <v>62.65</v>
      </c>
      <c r="D97" s="2">
        <v>62.45</v>
      </c>
      <c r="E97" s="2">
        <v>62.25</v>
      </c>
    </row>
    <row r="98" spans="1:5" x14ac:dyDescent="0.2">
      <c r="A98" s="2">
        <v>4.8</v>
      </c>
      <c r="B98" s="2">
        <v>63.59</v>
      </c>
      <c r="C98" s="2">
        <v>63.39</v>
      </c>
      <c r="D98" s="2">
        <v>63.18</v>
      </c>
      <c r="E98" s="2">
        <v>62.98</v>
      </c>
    </row>
    <row r="99" spans="1:5" x14ac:dyDescent="0.2">
      <c r="A99" s="2">
        <v>4.8499999999999996</v>
      </c>
      <c r="B99" s="2">
        <v>64.319999999999993</v>
      </c>
      <c r="C99" s="2">
        <v>64.12</v>
      </c>
      <c r="D99" s="2">
        <v>63.91</v>
      </c>
      <c r="E99" s="2">
        <v>63.71</v>
      </c>
    </row>
    <row r="100" spans="1:5" x14ac:dyDescent="0.2">
      <c r="A100" s="2">
        <v>4.9000000000000004</v>
      </c>
      <c r="B100" s="2">
        <v>65.05</v>
      </c>
      <c r="C100" s="2">
        <v>64.849999999999994</v>
      </c>
      <c r="D100" s="2">
        <v>64.650000000000006</v>
      </c>
      <c r="E100" s="2">
        <v>64.44</v>
      </c>
    </row>
    <row r="101" spans="1:5" x14ac:dyDescent="0.2">
      <c r="A101" s="2">
        <v>4.95</v>
      </c>
      <c r="B101" s="2">
        <v>65.78</v>
      </c>
      <c r="C101" s="2">
        <v>65.58</v>
      </c>
      <c r="D101" s="2">
        <v>65.38</v>
      </c>
      <c r="E101" s="2">
        <v>65.180000000000007</v>
      </c>
    </row>
    <row r="102" spans="1:5" x14ac:dyDescent="0.2">
      <c r="A102" s="2">
        <v>5</v>
      </c>
      <c r="B102" s="2">
        <v>66.510000000000005</v>
      </c>
      <c r="C102" s="2">
        <v>66.31</v>
      </c>
      <c r="D102" s="2">
        <v>66.099999999999994</v>
      </c>
      <c r="E102" s="2">
        <v>65.900000000000006</v>
      </c>
    </row>
    <row r="103" spans="1:5" x14ac:dyDescent="0.2">
      <c r="A103" s="2">
        <v>5.05</v>
      </c>
      <c r="B103" s="2">
        <v>67.239999999999995</v>
      </c>
      <c r="C103" s="2">
        <v>67.040000000000006</v>
      </c>
      <c r="D103" s="2">
        <v>66.84</v>
      </c>
      <c r="E103" s="2">
        <v>66.63</v>
      </c>
    </row>
    <row r="104" spans="1:5" x14ac:dyDescent="0.2">
      <c r="A104" s="2">
        <v>5.0999999999999996</v>
      </c>
      <c r="B104" s="2">
        <v>67.97</v>
      </c>
      <c r="C104" s="2">
        <v>67.77</v>
      </c>
      <c r="D104" s="2">
        <v>67.569999999999993</v>
      </c>
      <c r="E104" s="2">
        <v>67.36</v>
      </c>
    </row>
    <row r="105" spans="1:5" x14ac:dyDescent="0.2">
      <c r="A105" s="2">
        <v>5.15</v>
      </c>
      <c r="B105" s="2">
        <v>68.709999999999994</v>
      </c>
      <c r="C105" s="2">
        <v>68.5</v>
      </c>
      <c r="D105" s="2">
        <v>68.3</v>
      </c>
      <c r="E105" s="2">
        <v>68.09</v>
      </c>
    </row>
    <row r="106" spans="1:5" x14ac:dyDescent="0.2">
      <c r="A106" s="2">
        <v>5.2</v>
      </c>
      <c r="B106" s="2">
        <v>69.44</v>
      </c>
      <c r="C106" s="2">
        <v>69.23</v>
      </c>
      <c r="D106" s="2">
        <v>69.03</v>
      </c>
      <c r="E106" s="2">
        <v>68.83</v>
      </c>
    </row>
    <row r="107" spans="1:5" x14ac:dyDescent="0.2">
      <c r="A107" s="2">
        <v>5.25</v>
      </c>
      <c r="B107" s="2">
        <v>70.17</v>
      </c>
      <c r="C107" s="2">
        <v>69.97</v>
      </c>
      <c r="D107" s="2">
        <v>69.760000000000005</v>
      </c>
      <c r="E107" s="2">
        <v>69.56</v>
      </c>
    </row>
    <row r="108" spans="1:5" x14ac:dyDescent="0.2">
      <c r="A108" s="2">
        <v>5.3</v>
      </c>
      <c r="B108" s="2">
        <v>70.900000000000006</v>
      </c>
      <c r="C108" s="2">
        <v>70.7</v>
      </c>
      <c r="D108" s="2">
        <v>70.489999999999995</v>
      </c>
      <c r="E108" s="2">
        <v>70.290000000000006</v>
      </c>
    </row>
    <row r="109" spans="1:5" x14ac:dyDescent="0.2">
      <c r="A109" s="2">
        <v>5.35</v>
      </c>
      <c r="B109" s="2">
        <v>71.63</v>
      </c>
      <c r="C109" s="2">
        <v>71.430000000000007</v>
      </c>
      <c r="D109" s="2">
        <v>71.22</v>
      </c>
      <c r="E109" s="2">
        <v>71.02</v>
      </c>
    </row>
    <row r="110" spans="1:5" x14ac:dyDescent="0.2">
      <c r="A110" s="2">
        <v>5.4</v>
      </c>
      <c r="B110" s="2">
        <v>72.36</v>
      </c>
      <c r="C110" s="2">
        <v>72.16</v>
      </c>
      <c r="D110" s="2">
        <v>71.95</v>
      </c>
      <c r="E110" s="2">
        <v>71.75</v>
      </c>
    </row>
    <row r="111" spans="1:5" x14ac:dyDescent="0.2">
      <c r="A111" s="2">
        <v>5.45</v>
      </c>
      <c r="B111" s="2">
        <v>73.09</v>
      </c>
      <c r="C111" s="2">
        <v>72.89</v>
      </c>
      <c r="D111" s="2">
        <v>72.69</v>
      </c>
      <c r="E111" s="2">
        <v>72.48</v>
      </c>
    </row>
    <row r="112" spans="1:5" x14ac:dyDescent="0.2">
      <c r="A112" s="2">
        <v>5.5</v>
      </c>
      <c r="B112" s="2">
        <v>73.83</v>
      </c>
      <c r="C112" s="2">
        <v>73.62</v>
      </c>
      <c r="D112" s="2">
        <v>73.41</v>
      </c>
      <c r="E112" s="2">
        <v>73.209999999999994</v>
      </c>
    </row>
    <row r="113" spans="1:5" x14ac:dyDescent="0.2">
      <c r="A113" s="2">
        <v>5.55</v>
      </c>
      <c r="B113" s="2">
        <v>74.56</v>
      </c>
      <c r="C113" s="2">
        <v>74.349999999999994</v>
      </c>
      <c r="D113" s="2">
        <v>74.14</v>
      </c>
      <c r="E113" s="2">
        <v>73.94</v>
      </c>
    </row>
    <row r="114" spans="1:5" x14ac:dyDescent="0.2">
      <c r="A114" s="2">
        <v>5.6</v>
      </c>
      <c r="B114" s="2">
        <v>75.290000000000006</v>
      </c>
      <c r="C114" s="2">
        <v>75.08</v>
      </c>
      <c r="D114" s="2">
        <v>74.88</v>
      </c>
      <c r="E114" s="2">
        <v>74.67</v>
      </c>
    </row>
    <row r="115" spans="1:5" x14ac:dyDescent="0.2">
      <c r="A115" s="2">
        <v>5.65</v>
      </c>
      <c r="B115" s="2">
        <v>76.02</v>
      </c>
      <c r="C115" s="2">
        <v>75.81</v>
      </c>
      <c r="D115" s="2">
        <v>75.61</v>
      </c>
      <c r="E115" s="2">
        <v>75.400000000000006</v>
      </c>
    </row>
    <row r="116" spans="1:5" x14ac:dyDescent="0.2">
      <c r="A116" s="2">
        <v>5.7</v>
      </c>
      <c r="B116" s="2">
        <v>76.75</v>
      </c>
      <c r="C116" s="2">
        <v>76.540000000000006</v>
      </c>
      <c r="D116" s="2">
        <v>76.34</v>
      </c>
      <c r="E116" s="2">
        <v>76.13</v>
      </c>
    </row>
    <row r="117" spans="1:5" x14ac:dyDescent="0.2">
      <c r="A117" s="2">
        <v>5.75</v>
      </c>
      <c r="B117" s="2">
        <v>77.48</v>
      </c>
      <c r="C117" s="2">
        <v>77.28</v>
      </c>
      <c r="D117" s="2">
        <v>77.08</v>
      </c>
      <c r="E117" s="2">
        <v>76.88</v>
      </c>
    </row>
    <row r="118" spans="1:5" x14ac:dyDescent="0.2">
      <c r="A118" s="2">
        <v>5.8</v>
      </c>
      <c r="B118" s="2">
        <v>78.209999999999994</v>
      </c>
      <c r="C118" s="2">
        <v>78.010000000000005</v>
      </c>
      <c r="D118" s="2">
        <v>77.81</v>
      </c>
      <c r="E118" s="2">
        <v>77.61</v>
      </c>
    </row>
    <row r="119" spans="1:5" x14ac:dyDescent="0.2">
      <c r="A119" s="2">
        <v>5.85</v>
      </c>
      <c r="B119" s="2">
        <v>78.94</v>
      </c>
      <c r="C119" s="2">
        <v>78.739999999999995</v>
      </c>
      <c r="D119" s="2">
        <v>78.540000000000006</v>
      </c>
      <c r="E119" s="2">
        <v>78.34</v>
      </c>
    </row>
    <row r="120" spans="1:5" x14ac:dyDescent="0.2">
      <c r="A120" s="2">
        <v>5.9</v>
      </c>
      <c r="B120" s="2">
        <v>79.680000000000007</v>
      </c>
      <c r="C120" s="2">
        <v>79.47</v>
      </c>
      <c r="D120" s="2">
        <v>79.27</v>
      </c>
      <c r="E120" s="2">
        <v>79.069999999999993</v>
      </c>
    </row>
    <row r="121" spans="1:5" x14ac:dyDescent="0.2">
      <c r="A121" s="2">
        <v>5.95</v>
      </c>
      <c r="B121" s="2">
        <v>80.41</v>
      </c>
      <c r="C121" s="2">
        <v>80.209999999999994</v>
      </c>
      <c r="D121" s="2">
        <v>80</v>
      </c>
      <c r="E121" s="2">
        <v>79.8</v>
      </c>
    </row>
    <row r="122" spans="1:5" x14ac:dyDescent="0.2">
      <c r="A122" s="2">
        <v>6</v>
      </c>
      <c r="B122" s="2">
        <v>81.14</v>
      </c>
      <c r="C122" s="2">
        <v>80.94</v>
      </c>
      <c r="D122" s="2">
        <v>80.73</v>
      </c>
      <c r="E122" s="2">
        <v>80.53</v>
      </c>
    </row>
    <row r="123" spans="1:5" x14ac:dyDescent="0.2">
      <c r="A123" s="2">
        <v>6.05</v>
      </c>
      <c r="B123" s="2">
        <v>81.87</v>
      </c>
      <c r="C123" s="2">
        <v>81.67</v>
      </c>
      <c r="D123" s="2">
        <v>81.459999999999994</v>
      </c>
      <c r="E123" s="2">
        <v>81.260000000000005</v>
      </c>
    </row>
    <row r="124" spans="1:5" x14ac:dyDescent="0.2">
      <c r="A124" s="2">
        <v>6.1</v>
      </c>
      <c r="B124" s="2">
        <v>82.6</v>
      </c>
      <c r="C124" s="2">
        <v>82.4</v>
      </c>
      <c r="D124" s="2">
        <v>82.19</v>
      </c>
      <c r="E124" s="2">
        <v>81.99</v>
      </c>
    </row>
    <row r="125" spans="1:5" x14ac:dyDescent="0.2">
      <c r="A125" s="2">
        <v>6.15</v>
      </c>
      <c r="B125" s="2">
        <v>83.33</v>
      </c>
      <c r="C125" s="2">
        <v>83.13</v>
      </c>
      <c r="D125" s="2">
        <v>82.92</v>
      </c>
      <c r="E125" s="2">
        <v>82.72</v>
      </c>
    </row>
    <row r="126" spans="1:5" x14ac:dyDescent="0.2">
      <c r="A126" s="2">
        <v>6.2</v>
      </c>
      <c r="B126" s="2">
        <v>84.06</v>
      </c>
      <c r="C126" s="2">
        <v>83.86</v>
      </c>
      <c r="D126" s="2">
        <v>83.66</v>
      </c>
      <c r="E126" s="2">
        <v>83.45</v>
      </c>
    </row>
    <row r="127" spans="1:5" x14ac:dyDescent="0.2">
      <c r="A127" s="2">
        <v>6.25</v>
      </c>
      <c r="B127" s="2">
        <v>84.8</v>
      </c>
      <c r="C127" s="2">
        <v>84.59</v>
      </c>
      <c r="D127" s="2">
        <v>84.39</v>
      </c>
      <c r="E127" s="2">
        <v>84.18</v>
      </c>
    </row>
    <row r="128" spans="1:5" x14ac:dyDescent="0.2">
      <c r="A128" s="2">
        <v>6.3</v>
      </c>
      <c r="B128" s="2">
        <v>85.53</v>
      </c>
      <c r="C128" s="2">
        <v>85.32</v>
      </c>
      <c r="D128" s="2">
        <v>85.12</v>
      </c>
      <c r="E128" s="2">
        <v>84.92</v>
      </c>
    </row>
    <row r="129" spans="1:5" x14ac:dyDescent="0.2">
      <c r="A129" s="2">
        <v>6.35</v>
      </c>
      <c r="B129" s="2">
        <v>86.26</v>
      </c>
      <c r="C129" s="2">
        <v>86.05</v>
      </c>
      <c r="D129" s="2">
        <v>85.85</v>
      </c>
      <c r="E129" s="2">
        <v>85.65</v>
      </c>
    </row>
    <row r="130" spans="1:5" x14ac:dyDescent="0.2">
      <c r="A130" s="2">
        <v>6.4</v>
      </c>
      <c r="B130" s="2">
        <v>86.99</v>
      </c>
      <c r="C130" s="2">
        <v>86.79</v>
      </c>
      <c r="D130" s="2">
        <v>86.58</v>
      </c>
      <c r="E130" s="2">
        <v>86.38</v>
      </c>
    </row>
    <row r="131" spans="1:5" x14ac:dyDescent="0.2">
      <c r="A131" s="2">
        <v>6.45</v>
      </c>
      <c r="B131" s="2">
        <v>87.72</v>
      </c>
      <c r="C131" s="2">
        <v>87.52</v>
      </c>
      <c r="D131" s="2">
        <v>87.31</v>
      </c>
      <c r="E131" s="2">
        <v>87.11</v>
      </c>
    </row>
    <row r="132" spans="1:5" x14ac:dyDescent="0.2">
      <c r="A132" s="2">
        <v>6.5</v>
      </c>
      <c r="B132" s="2">
        <v>88.45</v>
      </c>
      <c r="C132" s="2">
        <v>88.25</v>
      </c>
      <c r="D132" s="2">
        <v>88.04</v>
      </c>
      <c r="E132" s="2">
        <v>87.83</v>
      </c>
    </row>
    <row r="133" spans="1:5" x14ac:dyDescent="0.2">
      <c r="A133" s="2">
        <v>6.55</v>
      </c>
      <c r="B133" s="2">
        <v>89.18</v>
      </c>
      <c r="C133" s="2">
        <v>88.98</v>
      </c>
      <c r="D133" s="2">
        <v>88.77</v>
      </c>
      <c r="E133" s="2">
        <v>88.56</v>
      </c>
    </row>
    <row r="134" spans="1:5" x14ac:dyDescent="0.2">
      <c r="A134" s="2">
        <v>6.6</v>
      </c>
      <c r="B134" s="2">
        <v>89.91</v>
      </c>
      <c r="C134" s="2">
        <v>89.71</v>
      </c>
      <c r="D134" s="2">
        <v>89.5</v>
      </c>
      <c r="E134" s="2">
        <v>89.26</v>
      </c>
    </row>
    <row r="135" spans="1:5" x14ac:dyDescent="0.2">
      <c r="A135" s="2">
        <v>6.65</v>
      </c>
      <c r="B135" s="2">
        <v>90.65</v>
      </c>
      <c r="C135" s="2">
        <v>90.44</v>
      </c>
      <c r="D135" s="2">
        <v>90.23</v>
      </c>
      <c r="E135" s="2">
        <v>90.03</v>
      </c>
    </row>
    <row r="136" spans="1:5" x14ac:dyDescent="0.2">
      <c r="A136" s="2">
        <v>6.7</v>
      </c>
      <c r="B136" s="2">
        <v>91.38</v>
      </c>
      <c r="C136" s="2">
        <v>91.17</v>
      </c>
      <c r="D136" s="2">
        <v>90.96</v>
      </c>
      <c r="E136" s="2">
        <v>90.76</v>
      </c>
    </row>
    <row r="137" spans="1:5" x14ac:dyDescent="0.2">
      <c r="A137" s="2">
        <v>6.75</v>
      </c>
      <c r="B137" s="2">
        <v>92.11</v>
      </c>
      <c r="C137" s="2">
        <v>91.9</v>
      </c>
      <c r="D137" s="2">
        <v>91.71</v>
      </c>
      <c r="E137" s="2">
        <v>91.51</v>
      </c>
    </row>
    <row r="138" spans="1:5" x14ac:dyDescent="0.2">
      <c r="A138" s="2">
        <v>6.8</v>
      </c>
      <c r="B138" s="2">
        <v>92.84</v>
      </c>
      <c r="C138" s="2">
        <v>92.64</v>
      </c>
      <c r="D138" s="2">
        <v>92.44</v>
      </c>
      <c r="E138" s="2">
        <v>92.24</v>
      </c>
    </row>
    <row r="139" spans="1:5" x14ac:dyDescent="0.2">
      <c r="A139" s="2">
        <v>6.85</v>
      </c>
      <c r="B139" s="2">
        <v>93.57</v>
      </c>
      <c r="C139" s="2">
        <v>93.37</v>
      </c>
      <c r="D139" s="2">
        <v>93.17</v>
      </c>
      <c r="E139" s="2">
        <v>92.97</v>
      </c>
    </row>
    <row r="140" spans="1:5" x14ac:dyDescent="0.2">
      <c r="A140" s="2">
        <v>6.9</v>
      </c>
      <c r="B140" s="2">
        <v>94.3</v>
      </c>
      <c r="C140" s="2">
        <v>94.1</v>
      </c>
      <c r="D140" s="2">
        <v>93.9</v>
      </c>
      <c r="E140" s="2">
        <v>93.7</v>
      </c>
    </row>
    <row r="141" spans="1:5" x14ac:dyDescent="0.2">
      <c r="A141" s="2">
        <v>6.95</v>
      </c>
      <c r="B141" s="2">
        <v>95.03</v>
      </c>
      <c r="C141" s="2">
        <v>94.83</v>
      </c>
      <c r="D141" s="2">
        <v>94.63</v>
      </c>
      <c r="E141" s="2">
        <v>94.43</v>
      </c>
    </row>
    <row r="142" spans="1:5" x14ac:dyDescent="0.2">
      <c r="A142" s="2">
        <v>7</v>
      </c>
      <c r="B142" s="2">
        <v>95.77</v>
      </c>
      <c r="C142" s="2">
        <v>95.56</v>
      </c>
      <c r="D142" s="2">
        <v>95.36</v>
      </c>
      <c r="E142" s="2">
        <v>95.15</v>
      </c>
    </row>
    <row r="143" spans="1:5" x14ac:dyDescent="0.2">
      <c r="A143" s="2">
        <v>7.05</v>
      </c>
      <c r="B143" s="2">
        <v>96.5</v>
      </c>
      <c r="C143" s="2">
        <v>96.29</v>
      </c>
      <c r="D143" s="2">
        <v>96.09</v>
      </c>
      <c r="E143" s="2">
        <v>95.89</v>
      </c>
    </row>
    <row r="144" spans="1:5" x14ac:dyDescent="0.2">
      <c r="A144" s="2">
        <v>7.1</v>
      </c>
      <c r="B144" s="2">
        <v>97.23</v>
      </c>
      <c r="C144" s="2">
        <v>97.02</v>
      </c>
      <c r="D144" s="2">
        <v>96.82</v>
      </c>
      <c r="E144" s="2">
        <v>96.62</v>
      </c>
    </row>
    <row r="145" spans="1:11" x14ac:dyDescent="0.2">
      <c r="A145" s="2">
        <v>7.15</v>
      </c>
      <c r="B145" s="2">
        <v>97.96</v>
      </c>
      <c r="C145" s="2">
        <v>97.76</v>
      </c>
      <c r="D145" s="2">
        <v>97.55</v>
      </c>
      <c r="E145" s="2">
        <v>97.35</v>
      </c>
    </row>
    <row r="146" spans="1:11" x14ac:dyDescent="0.2">
      <c r="A146" s="2">
        <v>7.2</v>
      </c>
      <c r="B146" s="2">
        <v>98.69</v>
      </c>
      <c r="C146" s="2">
        <v>98.49</v>
      </c>
      <c r="D146" s="2">
        <v>98.28</v>
      </c>
      <c r="E146" s="2">
        <v>98.08</v>
      </c>
    </row>
    <row r="147" spans="1:11" x14ac:dyDescent="0.2">
      <c r="A147" s="2">
        <v>7.25</v>
      </c>
      <c r="B147" s="2">
        <v>99.42</v>
      </c>
      <c r="C147" s="2">
        <v>99.22</v>
      </c>
      <c r="D147" s="2">
        <v>99.01</v>
      </c>
      <c r="E147" s="2">
        <v>98.81</v>
      </c>
    </row>
    <row r="148" spans="1:11" x14ac:dyDescent="0.2">
      <c r="A148" s="2">
        <v>7.3</v>
      </c>
      <c r="B148" s="2">
        <v>100.15</v>
      </c>
      <c r="C148" s="2">
        <v>99.95</v>
      </c>
      <c r="D148" s="2">
        <v>99.75</v>
      </c>
      <c r="E148" s="2">
        <v>99.54</v>
      </c>
    </row>
    <row r="149" spans="1:11" x14ac:dyDescent="0.2">
      <c r="A149" s="2">
        <v>7.35</v>
      </c>
      <c r="B149" s="2">
        <v>100.88</v>
      </c>
      <c r="C149" s="2">
        <v>100.68</v>
      </c>
      <c r="D149" s="2">
        <v>100.48</v>
      </c>
      <c r="E149" s="2">
        <v>100.27</v>
      </c>
    </row>
    <row r="150" spans="1:11" x14ac:dyDescent="0.2">
      <c r="A150" s="2">
        <v>7.4</v>
      </c>
      <c r="B150" s="2">
        <v>101.62</v>
      </c>
      <c r="C150" s="2">
        <v>101.41</v>
      </c>
      <c r="D150" s="2">
        <v>101.21</v>
      </c>
      <c r="E150" s="2">
        <v>101</v>
      </c>
    </row>
    <row r="151" spans="1:11" x14ac:dyDescent="0.2">
      <c r="A151" s="2">
        <v>7.45</v>
      </c>
      <c r="B151" s="2">
        <v>102.35</v>
      </c>
      <c r="C151" s="2">
        <v>102.14</v>
      </c>
      <c r="D151" s="2">
        <v>101.94</v>
      </c>
      <c r="E151" s="2">
        <v>101.74</v>
      </c>
    </row>
    <row r="152" spans="1:11" x14ac:dyDescent="0.2">
      <c r="A152" s="2">
        <v>7.5</v>
      </c>
      <c r="B152" s="2">
        <v>103.08</v>
      </c>
      <c r="C152" s="2">
        <v>102.87</v>
      </c>
      <c r="D152" s="2">
        <v>102.66</v>
      </c>
      <c r="E152" s="2">
        <v>102.46</v>
      </c>
    </row>
    <row r="153" spans="1:11" x14ac:dyDescent="0.2">
      <c r="A153" s="2">
        <v>7.55</v>
      </c>
      <c r="B153" s="2">
        <v>103.81</v>
      </c>
      <c r="C153" s="2">
        <v>103.6</v>
      </c>
      <c r="D153" s="2">
        <v>103.4</v>
      </c>
      <c r="E153" s="2">
        <v>103.19</v>
      </c>
    </row>
    <row r="154" spans="1:11" x14ac:dyDescent="0.2">
      <c r="A154" s="2">
        <v>7.6</v>
      </c>
      <c r="B154" s="2">
        <v>104.54</v>
      </c>
      <c r="C154" s="2">
        <v>104.33</v>
      </c>
      <c r="D154" s="2">
        <v>104.13</v>
      </c>
      <c r="E154" s="2">
        <v>103.92</v>
      </c>
    </row>
    <row r="155" spans="1:11" x14ac:dyDescent="0.2">
      <c r="A155" s="2">
        <v>7.65</v>
      </c>
      <c r="B155" s="2">
        <v>105.27</v>
      </c>
      <c r="C155" s="2">
        <v>105.07</v>
      </c>
      <c r="D155" s="2">
        <v>104.86</v>
      </c>
      <c r="E155" s="2">
        <v>104.65</v>
      </c>
      <c r="K155" s="2"/>
    </row>
    <row r="156" spans="1:11" x14ac:dyDescent="0.2">
      <c r="A156" s="2">
        <v>7.7</v>
      </c>
      <c r="B156" s="2">
        <v>106</v>
      </c>
      <c r="C156" s="2">
        <v>105.8</v>
      </c>
      <c r="D156" s="2">
        <v>105.59</v>
      </c>
      <c r="E156" s="2">
        <v>105.38</v>
      </c>
      <c r="K156" s="2"/>
    </row>
    <row r="157" spans="1:11" x14ac:dyDescent="0.2">
      <c r="A157" s="2">
        <v>7.75</v>
      </c>
      <c r="B157" s="2">
        <v>106.74</v>
      </c>
      <c r="C157" s="2">
        <v>106.53</v>
      </c>
      <c r="D157" s="2">
        <v>106.33</v>
      </c>
      <c r="E157" s="2">
        <v>106.13</v>
      </c>
      <c r="K157" s="2"/>
    </row>
    <row r="158" spans="1:11" x14ac:dyDescent="0.2">
      <c r="A158" s="2">
        <v>7.8</v>
      </c>
      <c r="B158" s="2">
        <v>107.47</v>
      </c>
      <c r="C158" s="2">
        <v>107.27</v>
      </c>
      <c r="D158" s="2">
        <v>107.07</v>
      </c>
      <c r="E158" s="2">
        <v>106.87</v>
      </c>
    </row>
    <row r="159" spans="1:11" x14ac:dyDescent="0.2">
      <c r="A159" s="2">
        <v>7.85</v>
      </c>
      <c r="B159" s="2">
        <v>108.2</v>
      </c>
      <c r="C159" s="2">
        <v>108</v>
      </c>
      <c r="D159" s="2">
        <v>107.8</v>
      </c>
      <c r="E159" s="2">
        <v>107.6</v>
      </c>
    </row>
    <row r="160" spans="1:11" x14ac:dyDescent="0.2">
      <c r="A160" s="2">
        <v>7.9</v>
      </c>
      <c r="B160" s="2">
        <v>108.93</v>
      </c>
      <c r="C160" s="2">
        <v>108.73</v>
      </c>
      <c r="D160" s="2">
        <v>108.53</v>
      </c>
      <c r="E160" s="2">
        <v>108.33</v>
      </c>
    </row>
    <row r="161" spans="1:11" x14ac:dyDescent="0.2">
      <c r="A161" s="2">
        <v>7.95</v>
      </c>
      <c r="B161" s="2">
        <v>109.66</v>
      </c>
      <c r="C161" s="2">
        <v>109.46</v>
      </c>
      <c r="D161" s="2">
        <v>109.26</v>
      </c>
      <c r="E161" s="2">
        <v>109.06</v>
      </c>
      <c r="K161" s="2"/>
    </row>
    <row r="162" spans="1:11" x14ac:dyDescent="0.2">
      <c r="A162" s="2">
        <v>8</v>
      </c>
      <c r="B162" s="2">
        <v>110.39</v>
      </c>
      <c r="C162" s="2">
        <v>110.19</v>
      </c>
      <c r="D162" s="2">
        <v>109.98</v>
      </c>
      <c r="E162" s="2">
        <v>109.78</v>
      </c>
      <c r="K162" s="2"/>
    </row>
    <row r="163" spans="1:11" x14ac:dyDescent="0.2">
      <c r="A163" s="2">
        <v>8.0500000000000007</v>
      </c>
      <c r="B163" s="2">
        <v>111.12</v>
      </c>
      <c r="C163" s="2">
        <v>110.92</v>
      </c>
      <c r="D163" s="2">
        <v>110.72</v>
      </c>
      <c r="E163" s="2">
        <v>110.51</v>
      </c>
      <c r="K163" s="2"/>
    </row>
    <row r="164" spans="1:11" x14ac:dyDescent="0.2">
      <c r="A164" s="2">
        <v>8.1</v>
      </c>
      <c r="B164" s="2">
        <v>111.85</v>
      </c>
      <c r="C164" s="2">
        <v>111.65</v>
      </c>
      <c r="D164" s="2">
        <v>111.45</v>
      </c>
      <c r="E164" s="2">
        <v>111.24</v>
      </c>
    </row>
    <row r="165" spans="1:11" x14ac:dyDescent="0.2">
      <c r="A165" s="2">
        <v>8.15</v>
      </c>
      <c r="B165" s="2">
        <v>112.59</v>
      </c>
      <c r="C165" s="2">
        <v>112.38</v>
      </c>
      <c r="D165" s="2">
        <v>112.18</v>
      </c>
      <c r="E165" s="2">
        <v>111.97</v>
      </c>
    </row>
    <row r="166" spans="1:11" x14ac:dyDescent="0.2">
      <c r="A166" s="2">
        <v>8.1999999999999993</v>
      </c>
      <c r="B166" s="2">
        <v>113.32</v>
      </c>
      <c r="C166" s="2">
        <v>113.11</v>
      </c>
      <c r="D166" s="2">
        <v>112.91</v>
      </c>
      <c r="E166" s="2">
        <v>112.71</v>
      </c>
    </row>
    <row r="167" spans="1:11" x14ac:dyDescent="0.2">
      <c r="A167" s="2">
        <v>8.25</v>
      </c>
      <c r="B167" s="2">
        <v>114.05</v>
      </c>
      <c r="C167" s="2">
        <v>113.85</v>
      </c>
      <c r="D167" s="2">
        <v>113.64</v>
      </c>
      <c r="E167" s="2">
        <v>113.44</v>
      </c>
    </row>
    <row r="168" spans="1:11" x14ac:dyDescent="0.2">
      <c r="A168" s="2">
        <v>8.3000000000000007</v>
      </c>
      <c r="B168" s="2">
        <v>114.78</v>
      </c>
      <c r="C168" s="2">
        <v>114.58</v>
      </c>
      <c r="D168" s="2">
        <v>114.37</v>
      </c>
      <c r="E168" s="2">
        <v>114.17</v>
      </c>
    </row>
    <row r="169" spans="1:11" x14ac:dyDescent="0.2">
      <c r="A169" s="2">
        <v>8.35</v>
      </c>
      <c r="B169" s="2">
        <v>115.51</v>
      </c>
      <c r="C169" s="2">
        <v>115.31</v>
      </c>
      <c r="D169" s="2">
        <v>115.1</v>
      </c>
      <c r="E169" s="2">
        <v>114.9</v>
      </c>
    </row>
    <row r="170" spans="1:11" x14ac:dyDescent="0.2">
      <c r="A170" s="2">
        <v>8.4</v>
      </c>
      <c r="B170" s="2">
        <v>116.24</v>
      </c>
      <c r="C170" s="2">
        <v>116.04</v>
      </c>
      <c r="D170" s="2">
        <v>115.84</v>
      </c>
      <c r="E170" s="2">
        <v>115.63</v>
      </c>
    </row>
    <row r="171" spans="1:11" x14ac:dyDescent="0.2">
      <c r="A171" s="2">
        <v>8.4499999999999993</v>
      </c>
      <c r="B171" s="2">
        <v>116.97</v>
      </c>
      <c r="C171" s="2">
        <v>116.77</v>
      </c>
      <c r="D171" s="2">
        <v>116.57</v>
      </c>
      <c r="E171" s="2">
        <v>116.36</v>
      </c>
    </row>
    <row r="172" spans="1:11" x14ac:dyDescent="0.2">
      <c r="A172" s="2">
        <v>8.5</v>
      </c>
      <c r="B172" s="2">
        <v>117.71</v>
      </c>
      <c r="C172" s="2">
        <v>117.5</v>
      </c>
      <c r="D172" s="2">
        <v>117.29</v>
      </c>
      <c r="E172" s="2">
        <v>117.08</v>
      </c>
    </row>
    <row r="173" spans="1:11" x14ac:dyDescent="0.2">
      <c r="A173" s="2">
        <v>8.5500000000000007</v>
      </c>
      <c r="B173" s="2">
        <v>118.44</v>
      </c>
      <c r="C173" s="2">
        <v>118.23</v>
      </c>
      <c r="D173" s="2">
        <v>118.02</v>
      </c>
      <c r="E173" s="2">
        <v>117.81</v>
      </c>
    </row>
    <row r="174" spans="1:11" x14ac:dyDescent="0.2">
      <c r="A174" s="2">
        <v>8.6</v>
      </c>
      <c r="B174" s="2">
        <v>119.17</v>
      </c>
      <c r="C174" s="2">
        <v>118.96</v>
      </c>
      <c r="D174" s="2">
        <v>118.75</v>
      </c>
      <c r="E174" s="2">
        <v>118.55</v>
      </c>
    </row>
    <row r="175" spans="1:11" x14ac:dyDescent="0.2">
      <c r="A175" s="2">
        <v>8.65</v>
      </c>
      <c r="B175" s="2">
        <v>119.9</v>
      </c>
      <c r="C175" s="2">
        <v>119.69</v>
      </c>
      <c r="D175" s="2">
        <v>119.48</v>
      </c>
      <c r="E175" s="2">
        <v>119.28</v>
      </c>
    </row>
    <row r="176" spans="1:11" x14ac:dyDescent="0.2">
      <c r="A176" s="2">
        <v>8.6999999999999993</v>
      </c>
      <c r="B176" s="2">
        <v>120.63</v>
      </c>
      <c r="C176" s="2">
        <v>120.42</v>
      </c>
      <c r="D176" s="2">
        <v>120.22</v>
      </c>
      <c r="E176" s="2">
        <v>120.01</v>
      </c>
    </row>
    <row r="177" spans="1:5" x14ac:dyDescent="0.2">
      <c r="A177" s="2">
        <v>8.75</v>
      </c>
      <c r="B177" s="2">
        <v>121.36</v>
      </c>
      <c r="C177" s="2">
        <v>121.15</v>
      </c>
      <c r="D177" s="2">
        <v>120.96</v>
      </c>
      <c r="E177" s="2">
        <v>120.76</v>
      </c>
    </row>
    <row r="178" spans="1:5" x14ac:dyDescent="0.2">
      <c r="A178" s="2">
        <v>8.8000000000000007</v>
      </c>
      <c r="B178" s="2">
        <v>122.09</v>
      </c>
      <c r="C178" s="3">
        <v>121.69</v>
      </c>
      <c r="D178" s="2">
        <v>121.69</v>
      </c>
      <c r="E178" s="2">
        <v>121.49</v>
      </c>
    </row>
    <row r="179" spans="1:5" x14ac:dyDescent="0.2">
      <c r="A179" s="2">
        <v>8.85</v>
      </c>
      <c r="B179" s="2">
        <v>122.82</v>
      </c>
      <c r="C179" s="2">
        <v>122.63</v>
      </c>
      <c r="D179" s="2">
        <v>122.43</v>
      </c>
      <c r="E179" s="2">
        <v>122.23</v>
      </c>
    </row>
    <row r="180" spans="1:5" x14ac:dyDescent="0.2">
      <c r="A180" s="2">
        <v>8.9</v>
      </c>
      <c r="B180" s="2">
        <v>123.56</v>
      </c>
      <c r="C180" s="2">
        <v>123.36</v>
      </c>
      <c r="D180" s="2">
        <v>123.16</v>
      </c>
      <c r="E180" s="2">
        <v>122.96</v>
      </c>
    </row>
    <row r="181" spans="1:5" x14ac:dyDescent="0.2">
      <c r="A181" s="2">
        <v>8.9499999999999993</v>
      </c>
      <c r="B181" s="2">
        <v>124.29</v>
      </c>
      <c r="C181" s="2">
        <v>124.09</v>
      </c>
      <c r="D181" s="2">
        <v>123.89</v>
      </c>
      <c r="E181" s="2">
        <v>123.69</v>
      </c>
    </row>
    <row r="182" spans="1:5" x14ac:dyDescent="0.2">
      <c r="A182" s="2">
        <v>9</v>
      </c>
      <c r="B182" s="2">
        <v>125.02</v>
      </c>
      <c r="C182" s="2">
        <v>124.82</v>
      </c>
      <c r="D182" s="2">
        <v>124.61</v>
      </c>
      <c r="E182" s="2">
        <v>124.41</v>
      </c>
    </row>
    <row r="183" spans="1:5" x14ac:dyDescent="0.2">
      <c r="A183" s="2">
        <v>9.0500000000000007</v>
      </c>
      <c r="B183" s="2">
        <v>125.75</v>
      </c>
      <c r="C183" s="2">
        <v>125.55</v>
      </c>
      <c r="D183" s="2">
        <v>125.34</v>
      </c>
      <c r="E183" s="2">
        <v>125.14</v>
      </c>
    </row>
    <row r="184" spans="1:5" x14ac:dyDescent="0.2">
      <c r="A184" s="2">
        <v>9.1</v>
      </c>
      <c r="B184" s="2">
        <v>126.48</v>
      </c>
      <c r="C184" s="2">
        <v>126.28</v>
      </c>
      <c r="D184" s="2">
        <v>126.07</v>
      </c>
      <c r="E184" s="2">
        <v>125.87</v>
      </c>
    </row>
    <row r="185" spans="1:5" x14ac:dyDescent="0.2">
      <c r="A185" s="2">
        <v>9.15</v>
      </c>
      <c r="B185" s="2">
        <v>127.21</v>
      </c>
      <c r="C185" s="2">
        <v>127.01</v>
      </c>
      <c r="D185" s="2">
        <v>126.81</v>
      </c>
      <c r="E185" s="2">
        <v>126.6</v>
      </c>
    </row>
    <row r="186" spans="1:5" x14ac:dyDescent="0.2">
      <c r="A186" s="2">
        <v>9.1999999999999993</v>
      </c>
      <c r="B186" s="2">
        <v>127.94</v>
      </c>
      <c r="C186" s="2">
        <v>127.74</v>
      </c>
      <c r="D186" s="2">
        <v>127.54</v>
      </c>
      <c r="E186" s="2">
        <v>127.33</v>
      </c>
    </row>
    <row r="187" spans="1:5" x14ac:dyDescent="0.2">
      <c r="A187" s="2">
        <v>9.25</v>
      </c>
      <c r="B187" s="2">
        <v>128.68</v>
      </c>
      <c r="C187" s="2">
        <v>128.47</v>
      </c>
      <c r="D187" s="2">
        <v>128.27000000000001</v>
      </c>
      <c r="E187" s="2">
        <v>128.06</v>
      </c>
    </row>
    <row r="188" spans="1:5" x14ac:dyDescent="0.2">
      <c r="A188" s="2">
        <v>9.3000000000000007</v>
      </c>
      <c r="B188" s="2">
        <v>129.41</v>
      </c>
      <c r="C188" s="2">
        <v>129.19999999999999</v>
      </c>
      <c r="D188" s="2">
        <v>129</v>
      </c>
      <c r="E188" s="2">
        <v>128.80000000000001</v>
      </c>
    </row>
    <row r="189" spans="1:5" x14ac:dyDescent="0.2">
      <c r="A189" s="2">
        <v>9.35</v>
      </c>
      <c r="B189" s="2">
        <v>130.13999999999999</v>
      </c>
      <c r="C189" s="2">
        <v>129.93</v>
      </c>
      <c r="D189" s="2">
        <v>129.72999999999999</v>
      </c>
      <c r="E189" s="2">
        <v>129.53</v>
      </c>
    </row>
    <row r="190" spans="1:5" x14ac:dyDescent="0.2">
      <c r="A190" s="2">
        <v>9.4</v>
      </c>
      <c r="B190" s="2">
        <v>130.87</v>
      </c>
      <c r="C190" s="2">
        <v>130.66999999999999</v>
      </c>
      <c r="D190" s="2">
        <v>130.46</v>
      </c>
      <c r="E190" s="2">
        <v>130.26</v>
      </c>
    </row>
    <row r="191" spans="1:5" x14ac:dyDescent="0.2">
      <c r="A191" s="2">
        <v>9.4499999999999993</v>
      </c>
      <c r="B191" s="2">
        <v>131.6</v>
      </c>
      <c r="C191" s="2">
        <v>131.4</v>
      </c>
      <c r="D191" s="2">
        <v>131.19</v>
      </c>
      <c r="E191" s="2">
        <v>130.99</v>
      </c>
    </row>
    <row r="192" spans="1:5" x14ac:dyDescent="0.2">
      <c r="A192" s="2">
        <v>9.5</v>
      </c>
      <c r="B192" s="2">
        <v>132.33000000000001</v>
      </c>
      <c r="C192" s="2">
        <v>132.13</v>
      </c>
      <c r="D192" s="2">
        <v>131.91999999999999</v>
      </c>
      <c r="E192" s="2">
        <v>131.71</v>
      </c>
    </row>
    <row r="193" spans="1:5" x14ac:dyDescent="0.2">
      <c r="A193" s="2">
        <v>9.5500000000000007</v>
      </c>
      <c r="B193" s="2">
        <v>133.06</v>
      </c>
      <c r="C193" s="2">
        <v>132.86000000000001</v>
      </c>
      <c r="D193" s="2">
        <v>132.65</v>
      </c>
      <c r="E193" s="2">
        <v>132.44</v>
      </c>
    </row>
    <row r="194" spans="1:5" x14ac:dyDescent="0.2">
      <c r="A194" s="2">
        <v>9.6</v>
      </c>
      <c r="B194" s="2">
        <v>133.79</v>
      </c>
      <c r="C194" s="2">
        <v>133.59</v>
      </c>
      <c r="D194" s="2">
        <v>133.38</v>
      </c>
      <c r="E194" s="2">
        <v>133.16999999999999</v>
      </c>
    </row>
    <row r="195" spans="1:5" x14ac:dyDescent="0.2">
      <c r="A195" s="2">
        <v>9.65</v>
      </c>
      <c r="B195" s="2">
        <v>134.53</v>
      </c>
      <c r="C195" s="2">
        <v>134.32</v>
      </c>
      <c r="D195" s="2">
        <v>134.11000000000001</v>
      </c>
      <c r="E195" s="2">
        <v>133.9</v>
      </c>
    </row>
    <row r="196" spans="1:5" x14ac:dyDescent="0.2">
      <c r="A196" s="2">
        <v>9.6999999999999993</v>
      </c>
      <c r="B196" s="2">
        <v>135.26</v>
      </c>
      <c r="C196" s="2">
        <v>135.05000000000001</v>
      </c>
      <c r="D196" s="2">
        <v>134.84</v>
      </c>
      <c r="E196" s="2">
        <v>134.63</v>
      </c>
    </row>
    <row r="197" spans="1:5" x14ac:dyDescent="0.2">
      <c r="A197" s="2">
        <v>9.75</v>
      </c>
      <c r="B197" s="2">
        <v>13.99</v>
      </c>
      <c r="C197" s="2">
        <v>135.78</v>
      </c>
      <c r="D197" s="2">
        <v>135.58000000000001</v>
      </c>
      <c r="E197" s="2">
        <v>135.38</v>
      </c>
    </row>
    <row r="198" spans="1:5" x14ac:dyDescent="0.2">
      <c r="A198" s="2">
        <v>9.8000000000000007</v>
      </c>
      <c r="B198" s="2">
        <v>136.72</v>
      </c>
      <c r="C198" s="2">
        <v>136.52000000000001</v>
      </c>
      <c r="D198" s="2">
        <v>136.31</v>
      </c>
      <c r="E198" s="2">
        <v>136.11000000000001</v>
      </c>
    </row>
    <row r="199" spans="1:5" x14ac:dyDescent="0.2">
      <c r="A199" s="2">
        <v>9.85</v>
      </c>
      <c r="B199" s="2">
        <v>137.44999999999999</v>
      </c>
      <c r="C199" s="2">
        <v>137.25</v>
      </c>
      <c r="D199" s="2">
        <v>137.03</v>
      </c>
      <c r="E199" s="2">
        <v>136.81</v>
      </c>
    </row>
    <row r="200" spans="1:5" x14ac:dyDescent="0.2">
      <c r="A200" s="2">
        <v>9.9</v>
      </c>
      <c r="B200" s="2">
        <v>137.99</v>
      </c>
      <c r="C200" s="2">
        <v>137.85</v>
      </c>
      <c r="D200" s="2">
        <v>137.69</v>
      </c>
      <c r="E200" s="2">
        <v>137.47999999999999</v>
      </c>
    </row>
    <row r="201" spans="1:5" x14ac:dyDescent="0.2">
      <c r="A201" s="2">
        <v>9.9499999999999993</v>
      </c>
      <c r="B201" s="2">
        <v>138.34</v>
      </c>
      <c r="C201" s="2">
        <v>138.26</v>
      </c>
      <c r="D201" s="2">
        <v>138.15</v>
      </c>
      <c r="E201" s="2">
        <v>138</v>
      </c>
    </row>
    <row r="202" spans="1:5" x14ac:dyDescent="0.2">
      <c r="A202" s="2">
        <v>10</v>
      </c>
      <c r="B202" s="2">
        <v>138.34</v>
      </c>
      <c r="C202" s="2">
        <v>138.34</v>
      </c>
      <c r="D202" s="2">
        <v>138.31</v>
      </c>
      <c r="E202" s="2">
        <v>138.22999999999999</v>
      </c>
    </row>
    <row r="203" spans="1:5" x14ac:dyDescent="0.2">
      <c r="A203" s="2">
        <v>10.050000000000001</v>
      </c>
      <c r="B203" s="2">
        <v>138.34</v>
      </c>
      <c r="C203" s="2">
        <v>138.34</v>
      </c>
      <c r="D203" s="2">
        <v>138.34</v>
      </c>
      <c r="E203" s="2">
        <v>138.32</v>
      </c>
    </row>
    <row r="204" spans="1:5" x14ac:dyDescent="0.2">
      <c r="A204" s="2">
        <v>10.1</v>
      </c>
      <c r="B204" s="2">
        <v>138.34</v>
      </c>
      <c r="C204" s="2">
        <v>138.34</v>
      </c>
      <c r="D204" s="2">
        <v>138.34</v>
      </c>
      <c r="E204" s="2">
        <v>138.34</v>
      </c>
    </row>
    <row r="205" spans="1:5" x14ac:dyDescent="0.2">
      <c r="A205" s="2">
        <v>10.15</v>
      </c>
      <c r="B205" s="2">
        <v>138.34</v>
      </c>
      <c r="C205" s="2">
        <v>138.34</v>
      </c>
      <c r="D205" s="2">
        <v>138.34</v>
      </c>
      <c r="E205" s="2">
        <v>138.34</v>
      </c>
    </row>
  </sheetData>
  <sheetProtection sheet="1" objects="1" scenarios="1"/>
  <conditionalFormatting sqref="A1:A65536">
    <cfRule type="expression" dxfId="14" priority="3" stopIfTrue="1">
      <formula>IF(OR($A1=$L$4,$A1=$L$6),TRUE,FALSE)</formula>
    </cfRule>
  </conditionalFormatting>
  <conditionalFormatting sqref="B1:E1">
    <cfRule type="expression" dxfId="13" priority="2" stopIfTrue="1">
      <formula>IF(OR(B$1=$M$3,B$1=$O$3),TRUE,FALSE)</formula>
    </cfRule>
  </conditionalFormatting>
  <conditionalFormatting sqref="B2:F205">
    <cfRule type="expression" dxfId="12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1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2">
        <v>0.23</v>
      </c>
      <c r="C2" s="2">
        <v>0.1</v>
      </c>
      <c r="D2" s="2">
        <v>0.17</v>
      </c>
      <c r="E2" s="2">
        <v>0.24</v>
      </c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2">
        <v>0.53</v>
      </c>
      <c r="C3" s="2">
        <v>0.47</v>
      </c>
      <c r="D3" s="2">
        <v>0.48</v>
      </c>
      <c r="E3" s="2">
        <v>0.47</v>
      </c>
      <c r="J3" s="6">
        <v>10.305</v>
      </c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2">
        <v>1.01</v>
      </c>
      <c r="C4" s="2">
        <v>0.87</v>
      </c>
      <c r="D4" s="2">
        <v>0.79</v>
      </c>
      <c r="E4" s="2">
        <v>0.69</v>
      </c>
      <c r="K4" s="2"/>
      <c r="L4" s="2">
        <f>IF(O8=0.05,L5,L5-O8)</f>
        <v>2.85</v>
      </c>
      <c r="M4" s="2">
        <f>VLOOKUP(ROUNDDOWN(L4,2),A:F,MATCH(M3,B1:F1,0)+1,FALSE)</f>
        <v>57.11</v>
      </c>
      <c r="N4" s="2">
        <f>IF(($O$3-$M$3)&gt;0,M4+(($N$3-$M$3)*(O4-M4)/($O$3-$M$3)),M4)</f>
        <v>56.78</v>
      </c>
      <c r="O4" s="2">
        <f>VLOOKUP(ROUNDDOWN($L$4,2),A:F,MATCH(O$3,B1:F1,0)+1,FALSE)</f>
        <v>56.45</v>
      </c>
    </row>
    <row r="5" spans="1:16" x14ac:dyDescent="0.2">
      <c r="A5" s="2">
        <v>0.15</v>
      </c>
      <c r="B5" s="2">
        <v>1.49</v>
      </c>
      <c r="C5" s="2">
        <v>1.27</v>
      </c>
      <c r="D5" s="2">
        <v>1.1000000000000001</v>
      </c>
      <c r="E5" s="2">
        <v>0.92</v>
      </c>
      <c r="K5" s="2"/>
      <c r="L5" s="6">
        <f>ROUND(J3-Before!E15,3)</f>
        <v>2.875</v>
      </c>
      <c r="M5" s="1" t="s">
        <v>1</v>
      </c>
      <c r="N5" s="2">
        <f>IF(($L$6-$L$4)&gt;0,N4+(($L$5-$L$4)*(N6-N4)/0.05),N4)</f>
        <v>57.39</v>
      </c>
      <c r="O5" s="1" t="s">
        <v>2</v>
      </c>
    </row>
    <row r="6" spans="1:16" x14ac:dyDescent="0.2">
      <c r="A6" s="2">
        <v>0.2</v>
      </c>
      <c r="B6" s="2">
        <v>1.96</v>
      </c>
      <c r="C6" s="2">
        <v>1.67</v>
      </c>
      <c r="D6" s="2">
        <v>1.41</v>
      </c>
      <c r="E6" s="2">
        <v>1.1499999999999999</v>
      </c>
      <c r="K6" s="2"/>
      <c r="L6" s="2">
        <f>IF(OR(O8=0.05,O8=0),L5,L5+(0.05-O8))</f>
        <v>2.9</v>
      </c>
      <c r="M6" s="2">
        <f>VLOOKUP(ROUND($L6,2),A:F,MATCH($M$3,B1:F1,0)+1,FALSE)</f>
        <v>58.33</v>
      </c>
      <c r="N6" s="2">
        <f>IF(($O$3-$M$3)&gt;0,M6+(($N$3-$M$3)*(O6-M6)/($O$3-$M$3)),M6)</f>
        <v>58</v>
      </c>
      <c r="O6" s="2">
        <f>VLOOKUP(ROUNDDOWN($L$6,2),A:F,MATCH($O$3,B1:F1,0)+1,FALSE)</f>
        <v>57.67</v>
      </c>
    </row>
    <row r="7" spans="1:16" x14ac:dyDescent="0.2">
      <c r="A7" s="2">
        <v>0.25</v>
      </c>
      <c r="B7" s="2">
        <v>2.44</v>
      </c>
      <c r="C7" s="2">
        <v>2.08</v>
      </c>
      <c r="D7" s="2">
        <v>1.84</v>
      </c>
      <c r="E7" s="2">
        <v>1.66</v>
      </c>
      <c r="K7" s="2"/>
      <c r="L7" s="2"/>
      <c r="M7" s="2"/>
      <c r="N7" s="2"/>
    </row>
    <row r="8" spans="1:16" x14ac:dyDescent="0.2">
      <c r="A8" s="2">
        <v>0.3</v>
      </c>
      <c r="B8" s="2">
        <v>3.02</v>
      </c>
      <c r="C8" s="2">
        <v>2.73</v>
      </c>
      <c r="D8" s="2">
        <v>2.4700000000000002</v>
      </c>
      <c r="E8" s="2">
        <v>2.2400000000000002</v>
      </c>
      <c r="K8" s="2"/>
      <c r="L8" s="2"/>
      <c r="M8" s="6">
        <f>(L5-INT(L5))*10</f>
        <v>8.75</v>
      </c>
      <c r="N8" s="6">
        <f>ROUND((M8-INT(M8))*10,5)</f>
        <v>7.5</v>
      </c>
      <c r="O8" s="6">
        <f>IF(N8&gt;5,(N8-5)/100,N8/100)</f>
        <v>2.5000000000000001E-2</v>
      </c>
    </row>
    <row r="9" spans="1:16" x14ac:dyDescent="0.2">
      <c r="A9" s="2">
        <v>0.35</v>
      </c>
      <c r="B9" s="2">
        <v>3.74</v>
      </c>
      <c r="C9" s="2">
        <v>3.4</v>
      </c>
      <c r="D9" s="2">
        <v>3.1</v>
      </c>
      <c r="E9" s="2">
        <v>2.82</v>
      </c>
      <c r="I9" s="3"/>
      <c r="K9" s="2"/>
      <c r="L9" s="2"/>
    </row>
    <row r="10" spans="1:16" x14ac:dyDescent="0.2">
      <c r="A10" s="2">
        <v>0.4</v>
      </c>
      <c r="B10" s="2">
        <v>4.46</v>
      </c>
      <c r="C10" s="2">
        <v>4.08</v>
      </c>
      <c r="D10" s="2">
        <v>3.73</v>
      </c>
      <c r="E10" s="2">
        <v>3.4</v>
      </c>
      <c r="K10" s="2"/>
      <c r="L10" s="2"/>
      <c r="N10" s="2"/>
    </row>
    <row r="11" spans="1:16" ht="15" x14ac:dyDescent="0.25">
      <c r="A11" s="2">
        <v>0.45</v>
      </c>
      <c r="B11" s="2">
        <v>5.17</v>
      </c>
      <c r="C11" s="2">
        <v>4.7</v>
      </c>
      <c r="D11" s="2">
        <v>4.3600000000000003</v>
      </c>
      <c r="E11" s="2">
        <v>3.98</v>
      </c>
      <c r="K11" s="2"/>
      <c r="L11" s="219"/>
      <c r="M11" s="219">
        <v>0</v>
      </c>
      <c r="N11" s="219">
        <v>1</v>
      </c>
      <c r="O11" s="220">
        <v>2</v>
      </c>
      <c r="P11" s="4">
        <v>3</v>
      </c>
    </row>
    <row r="12" spans="1:16" ht="15" x14ac:dyDescent="0.25">
      <c r="A12" s="2">
        <v>0.5</v>
      </c>
      <c r="B12" s="2">
        <v>5.89</v>
      </c>
      <c r="C12" s="2">
        <v>5.44</v>
      </c>
      <c r="D12" s="2">
        <v>5.0599999999999996</v>
      </c>
      <c r="E12" s="2">
        <v>4.72</v>
      </c>
      <c r="K12" s="2"/>
      <c r="L12" s="219"/>
      <c r="M12" s="219">
        <f>LOOKUP(N15,B:B,A:A)</f>
        <v>8</v>
      </c>
      <c r="N12" s="219">
        <f>LOOKUP($N$15,C:C,$A:$A)</f>
        <v>8.0500000000000007</v>
      </c>
      <c r="O12" s="219">
        <f>LOOKUP($N$15,D:D,$A:$A)</f>
        <v>8.0500000000000007</v>
      </c>
      <c r="P12" s="219">
        <f>LOOKUP($N$15,E:E,$A:$A)</f>
        <v>8.1</v>
      </c>
    </row>
    <row r="13" spans="1:16" ht="15" x14ac:dyDescent="0.25">
      <c r="A13" s="2">
        <v>0.55000000000000004</v>
      </c>
      <c r="B13" s="2">
        <v>6.68</v>
      </c>
      <c r="C13" s="2">
        <v>6.26</v>
      </c>
      <c r="D13" s="2">
        <v>5.88</v>
      </c>
      <c r="E13" s="2">
        <v>5.5</v>
      </c>
      <c r="K13" s="2"/>
      <c r="L13" s="219"/>
      <c r="M13" s="219">
        <f>INT(N13)</f>
        <v>2</v>
      </c>
      <c r="N13" s="219">
        <f>Before!O8</f>
        <v>2</v>
      </c>
      <c r="O13" s="219">
        <f>IF(M13=N13,N13,M13+1)</f>
        <v>2</v>
      </c>
    </row>
    <row r="14" spans="1:16" ht="15" x14ac:dyDescent="0.25">
      <c r="A14" s="2">
        <v>0.6</v>
      </c>
      <c r="B14" s="2">
        <v>7.55</v>
      </c>
      <c r="C14" s="2">
        <v>7.11</v>
      </c>
      <c r="D14" s="2">
        <v>6.69</v>
      </c>
      <c r="E14" s="2">
        <v>6.28</v>
      </c>
      <c r="K14" s="2"/>
      <c r="L14">
        <f>HLOOKUP(M$13,$M$11:$P$12,2,FALSE)</f>
        <v>8.0500000000000007</v>
      </c>
      <c r="M14" s="219">
        <f>VLOOKUP(ROUNDDOWN(L14,2),A:F,MATCH(M13,B1:F1,0)+1,FALSE)</f>
        <v>184.01</v>
      </c>
      <c r="N14" s="219">
        <f>IF(($O$13-$M$13)&gt;0,M14+(($N$13-$M$13)*(O14-M14)/($O$13-$M$13)),M14)</f>
        <v>184.01</v>
      </c>
      <c r="O14" s="219">
        <f>VLOOKUP(ROUNDDOWN(L14,2),A:F,MATCH(O$13,B1:F1,0)+1,FALSE)</f>
        <v>184.01</v>
      </c>
    </row>
    <row r="15" spans="1:16" ht="15" x14ac:dyDescent="0.25">
      <c r="A15" s="2">
        <v>0.65</v>
      </c>
      <c r="B15" s="2">
        <v>8.42</v>
      </c>
      <c r="C15" s="2">
        <v>7.95</v>
      </c>
      <c r="D15" s="2">
        <v>7.51</v>
      </c>
      <c r="E15" s="2">
        <v>7.07</v>
      </c>
      <c r="K15" s="6">
        <f>J3-L15</f>
        <v>2.2181453570614877</v>
      </c>
      <c r="L15" s="221">
        <f>L14+((N15-N14)*ABS(L16-L14))/(N16-N14)</f>
        <v>8.086854642938512</v>
      </c>
      <c r="M15" s="222" t="s">
        <v>97</v>
      </c>
      <c r="N15" s="219">
        <f>Before!M15</f>
        <v>184.90925328769964</v>
      </c>
      <c r="O15" s="222" t="s">
        <v>98</v>
      </c>
    </row>
    <row r="16" spans="1:16" ht="15" x14ac:dyDescent="0.25">
      <c r="A16" s="2">
        <v>0.7</v>
      </c>
      <c r="B16" s="2">
        <v>9.2899999999999991</v>
      </c>
      <c r="C16" s="2">
        <v>8.8000000000000007</v>
      </c>
      <c r="D16" s="2">
        <v>8.32</v>
      </c>
      <c r="E16" s="2">
        <v>7.85</v>
      </c>
      <c r="L16" s="219">
        <f>IF(N15&gt;M14,L14+0.05,L14-0.05)</f>
        <v>8.1000000000000014</v>
      </c>
      <c r="M16" s="219">
        <f>VLOOKUP(ROUNDDOWN(L16,2),A:F,MATCH(M13,B1:F1,0)+1,FALSE)</f>
        <v>185.23</v>
      </c>
      <c r="N16" s="219">
        <f>IF(($O$13-$M$13)&gt;0,M16+(($N$13-$M$13)*(O16-M16)/($O$13-$M$13)),M16)</f>
        <v>185.23</v>
      </c>
      <c r="O16" s="219">
        <f>VLOOKUP(ROUNDDOWN(L16,2),A:F,MATCH(O$13,B1:F1,0)+1,FALSE)</f>
        <v>185.23</v>
      </c>
    </row>
    <row r="17" spans="1:15" x14ac:dyDescent="0.2">
      <c r="A17" s="2">
        <v>0.75</v>
      </c>
      <c r="B17" s="2">
        <v>10.16</v>
      </c>
      <c r="C17" s="2">
        <v>9.64</v>
      </c>
      <c r="D17" s="2">
        <v>9.18</v>
      </c>
      <c r="E17" s="2">
        <v>8.74</v>
      </c>
    </row>
    <row r="18" spans="1:15" x14ac:dyDescent="0.2">
      <c r="A18" s="2">
        <v>0.8</v>
      </c>
      <c r="B18" s="2">
        <v>11.08</v>
      </c>
      <c r="C18" s="2">
        <v>10.6</v>
      </c>
      <c r="D18" s="2">
        <v>10.119999999999999</v>
      </c>
      <c r="E18" s="2">
        <v>9.66</v>
      </c>
    </row>
    <row r="19" spans="1:15" x14ac:dyDescent="0.2">
      <c r="A19" s="2">
        <v>0.85</v>
      </c>
      <c r="B19" s="2">
        <v>12.06</v>
      </c>
      <c r="C19" s="2">
        <v>11.56</v>
      </c>
      <c r="D19" s="2">
        <v>11.06</v>
      </c>
      <c r="E19" s="2">
        <v>10.58</v>
      </c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2">
        <v>13.04</v>
      </c>
      <c r="C20" s="2">
        <v>12.52</v>
      </c>
      <c r="D20" s="2">
        <v>12</v>
      </c>
      <c r="E20" s="2">
        <v>11.49</v>
      </c>
      <c r="L20" s="2">
        <f>IF(O24=0.05,L21,L21-O24)</f>
        <v>7.9</v>
      </c>
      <c r="M20" s="2">
        <f>VLOOKUP(ROUNDDOWN(L20,2),A:F,MATCH(M19,B1:F1,0)+1,FALSE)</f>
        <v>180.33</v>
      </c>
      <c r="N20" s="2">
        <f>IF(($O$19-$M$19)&gt;0,M20+(($N$19-$M$19)*(O20-M20)/($O$19-$M$19)),M20)</f>
        <v>180.33</v>
      </c>
      <c r="O20" s="2">
        <f>VLOOKUP(ROUNDDOWN($L$20,2),A:F,MATCH(O$19,B1:F1,0)+1,FALSE)</f>
        <v>180.33</v>
      </c>
    </row>
    <row r="21" spans="1:15" x14ac:dyDescent="0.2">
      <c r="A21" s="2">
        <v>0.95</v>
      </c>
      <c r="B21" s="2">
        <v>14.02</v>
      </c>
      <c r="C21" s="2">
        <v>13.48</v>
      </c>
      <c r="D21" s="2">
        <v>12.94</v>
      </c>
      <c r="E21" s="2">
        <v>12.41</v>
      </c>
      <c r="L21" s="6">
        <f>ROUND(J3-After!L6,3)</f>
        <v>7.9050000000000002</v>
      </c>
      <c r="M21" s="1" t="s">
        <v>1</v>
      </c>
      <c r="N21" s="2">
        <f>IF(($L$22-$L$20)&gt;0,N20+(($L$21-$L$20)*(N22-N20)/0.05),N20)</f>
        <v>180.452</v>
      </c>
      <c r="O21" s="1" t="s">
        <v>2</v>
      </c>
    </row>
    <row r="22" spans="1:15" x14ac:dyDescent="0.2">
      <c r="A22" s="2">
        <v>1</v>
      </c>
      <c r="B22" s="2">
        <v>15</v>
      </c>
      <c r="C22" s="2">
        <v>14.44</v>
      </c>
      <c r="D22" s="2">
        <v>13.92</v>
      </c>
      <c r="E22" s="2">
        <v>13.41</v>
      </c>
      <c r="L22" s="2">
        <f>IF(OR(O24=0.05,O24=0),L21,L21+(0.05-O24))</f>
        <v>7.95</v>
      </c>
      <c r="M22" s="2">
        <f>VLOOKUP(ROUND($L22,2),A:F,MATCH($M$19,B1:F1,0)+1,FALSE)</f>
        <v>181.55</v>
      </c>
      <c r="N22" s="2">
        <f>IF(($O$19-$M$19)&gt;0,M22+(($N$19-$M$19)*(O22-M22)/($O$3-$M$19)),M22)</f>
        <v>181.55</v>
      </c>
      <c r="O22" s="2">
        <f>VLOOKUP(ROUNDDOWN($L$22,2),A:F,MATCH($O$19,B1:F1,0)+1,FALSE)</f>
        <v>181.55</v>
      </c>
    </row>
    <row r="23" spans="1:15" x14ac:dyDescent="0.2">
      <c r="A23" s="2">
        <v>1.05</v>
      </c>
      <c r="B23" s="2">
        <v>16.02</v>
      </c>
      <c r="C23" s="2">
        <v>15.48</v>
      </c>
      <c r="D23" s="2">
        <v>14.95</v>
      </c>
      <c r="E23" s="2">
        <v>14.42</v>
      </c>
      <c r="L23" s="2"/>
      <c r="M23" s="2"/>
      <c r="N23" s="2"/>
    </row>
    <row r="24" spans="1:15" x14ac:dyDescent="0.2">
      <c r="A24" s="2">
        <v>1.1000000000000001</v>
      </c>
      <c r="B24" s="2">
        <v>17.09</v>
      </c>
      <c r="C24" s="2">
        <v>16.53</v>
      </c>
      <c r="D24" s="2">
        <v>15.98</v>
      </c>
      <c r="E24" s="2">
        <v>15.44</v>
      </c>
      <c r="L24" s="2"/>
      <c r="M24" s="6">
        <f>(L21-INT(L21))*10</f>
        <v>9.0500000000000025</v>
      </c>
      <c r="N24" s="6">
        <f>ROUND((M24-INT(M24))*10,5)</f>
        <v>0.5</v>
      </c>
      <c r="O24" s="6">
        <f>IF(N24&gt;5,(N24-5)/100,N24/100)</f>
        <v>5.0000000000000001E-3</v>
      </c>
    </row>
    <row r="25" spans="1:15" x14ac:dyDescent="0.2">
      <c r="A25" s="2">
        <v>1.1499999999999999</v>
      </c>
      <c r="B25" s="2">
        <v>18.149999999999999</v>
      </c>
      <c r="C25" s="2">
        <v>17.579999999999998</v>
      </c>
      <c r="D25" s="2">
        <v>17.010000000000002</v>
      </c>
      <c r="E25" s="2">
        <v>16.45</v>
      </c>
    </row>
    <row r="26" spans="1:15" x14ac:dyDescent="0.2">
      <c r="A26" s="2">
        <v>1.2</v>
      </c>
      <c r="B26" s="2">
        <v>19.22</v>
      </c>
      <c r="C26" s="2">
        <v>18.62</v>
      </c>
      <c r="D26" s="2">
        <v>18.04</v>
      </c>
      <c r="E26" s="2">
        <v>17.46</v>
      </c>
    </row>
    <row r="27" spans="1:15" x14ac:dyDescent="0.2">
      <c r="A27" s="2">
        <v>1.25</v>
      </c>
      <c r="B27" s="2">
        <v>20.28</v>
      </c>
      <c r="C27" s="2">
        <v>19.670000000000002</v>
      </c>
      <c r="D27" s="2">
        <v>19.100000000000001</v>
      </c>
      <c r="E27" s="2">
        <v>18.54</v>
      </c>
    </row>
    <row r="28" spans="1:15" x14ac:dyDescent="0.2">
      <c r="A28" s="2">
        <v>1.3</v>
      </c>
      <c r="B28" s="2">
        <v>21.38</v>
      </c>
      <c r="C28" s="2">
        <v>20.79</v>
      </c>
      <c r="D28" s="2">
        <v>20.21</v>
      </c>
      <c r="E28" s="2">
        <v>19.64</v>
      </c>
    </row>
    <row r="29" spans="1:15" x14ac:dyDescent="0.2">
      <c r="A29" s="2">
        <v>1.35</v>
      </c>
      <c r="B29" s="2">
        <v>22.51</v>
      </c>
      <c r="C29" s="2">
        <v>21.91</v>
      </c>
      <c r="D29" s="2">
        <v>21.32</v>
      </c>
      <c r="E29" s="2">
        <v>20.73</v>
      </c>
    </row>
    <row r="30" spans="1:15" x14ac:dyDescent="0.2">
      <c r="A30" s="2">
        <v>1.4</v>
      </c>
      <c r="B30" s="2">
        <v>23.64</v>
      </c>
      <c r="C30" s="2">
        <v>23.02</v>
      </c>
      <c r="D30" s="2">
        <v>22.42</v>
      </c>
      <c r="E30" s="2">
        <v>21.82</v>
      </c>
    </row>
    <row r="31" spans="1:15" x14ac:dyDescent="0.2">
      <c r="A31" s="2">
        <v>1.45</v>
      </c>
      <c r="B31" s="2">
        <v>24.76</v>
      </c>
      <c r="C31" s="2">
        <v>24.14</v>
      </c>
      <c r="D31" s="2">
        <v>23.53</v>
      </c>
      <c r="E31" s="2">
        <v>22.92</v>
      </c>
    </row>
    <row r="32" spans="1:15" x14ac:dyDescent="0.2">
      <c r="A32" s="2">
        <v>1.5</v>
      </c>
      <c r="B32" s="2">
        <v>25.89</v>
      </c>
      <c r="C32" s="2">
        <v>25.26</v>
      </c>
      <c r="D32" s="2">
        <v>24.66</v>
      </c>
      <c r="E32" s="2">
        <v>24.05</v>
      </c>
      <c r="K32" s="2"/>
      <c r="L32" s="2"/>
    </row>
    <row r="33" spans="1:12" x14ac:dyDescent="0.2">
      <c r="A33" s="2">
        <v>1.55</v>
      </c>
      <c r="B33" s="2">
        <v>27.04</v>
      </c>
      <c r="C33" s="2">
        <v>26.42</v>
      </c>
      <c r="D33" s="2">
        <v>25.82</v>
      </c>
      <c r="E33" s="2">
        <v>25.2</v>
      </c>
      <c r="K33" s="2"/>
      <c r="L33" s="2"/>
    </row>
    <row r="34" spans="1:12" x14ac:dyDescent="0.2">
      <c r="A34" s="2">
        <v>1.6</v>
      </c>
      <c r="B34" s="2">
        <v>28.22</v>
      </c>
      <c r="C34" s="2">
        <v>27.59</v>
      </c>
      <c r="D34" s="2">
        <v>26.97</v>
      </c>
      <c r="E34" s="2">
        <v>26.35</v>
      </c>
      <c r="K34" s="2"/>
      <c r="L34" s="2"/>
    </row>
    <row r="35" spans="1:12" x14ac:dyDescent="0.2">
      <c r="A35" s="2">
        <v>1.65</v>
      </c>
      <c r="B35" s="2">
        <v>29.39</v>
      </c>
      <c r="C35" s="2">
        <v>28.75</v>
      </c>
      <c r="D35" s="2">
        <v>28.13</v>
      </c>
      <c r="E35" s="2">
        <v>27.5</v>
      </c>
      <c r="K35" s="2"/>
      <c r="L35" s="2"/>
    </row>
    <row r="36" spans="1:12" x14ac:dyDescent="0.2">
      <c r="A36" s="2">
        <v>1.7</v>
      </c>
      <c r="B36" s="2">
        <v>30.57</v>
      </c>
      <c r="C36" s="2">
        <v>29.92</v>
      </c>
      <c r="D36" s="2">
        <v>29.28</v>
      </c>
      <c r="E36" s="2">
        <v>28.64</v>
      </c>
      <c r="K36" s="2"/>
      <c r="L36" s="2"/>
    </row>
    <row r="37" spans="1:12" x14ac:dyDescent="0.2">
      <c r="A37" s="2">
        <v>1.75</v>
      </c>
      <c r="B37" s="2">
        <v>31.74</v>
      </c>
      <c r="C37" s="2">
        <v>31.08</v>
      </c>
      <c r="D37" s="2">
        <v>30.45</v>
      </c>
      <c r="E37" s="2">
        <v>29.83</v>
      </c>
      <c r="K37" s="2"/>
      <c r="L37" s="2"/>
    </row>
    <row r="38" spans="1:12" x14ac:dyDescent="0.2">
      <c r="A38" s="2">
        <v>1.8</v>
      </c>
      <c r="B38" s="2">
        <v>32.93</v>
      </c>
      <c r="C38" s="2">
        <v>32.29</v>
      </c>
      <c r="D38" s="2">
        <v>31.64</v>
      </c>
      <c r="E38" s="2">
        <v>31.01</v>
      </c>
      <c r="K38" s="2"/>
      <c r="L38" s="2"/>
    </row>
    <row r="39" spans="1:12" x14ac:dyDescent="0.2">
      <c r="A39" s="2">
        <v>1.85</v>
      </c>
      <c r="B39" s="2">
        <v>34.130000000000003</v>
      </c>
      <c r="C39" s="2">
        <v>33.49</v>
      </c>
      <c r="D39" s="2">
        <v>32.840000000000003</v>
      </c>
      <c r="E39" s="2">
        <v>32.200000000000003</v>
      </c>
      <c r="K39" s="2"/>
      <c r="L39" s="2"/>
    </row>
    <row r="40" spans="1:12" x14ac:dyDescent="0.2">
      <c r="A40" s="2">
        <v>1.9</v>
      </c>
      <c r="B40" s="2">
        <v>35.33</v>
      </c>
      <c r="C40" s="2">
        <v>34.69</v>
      </c>
      <c r="D40" s="2">
        <v>34.03</v>
      </c>
      <c r="E40" s="2">
        <v>33.39</v>
      </c>
      <c r="K40" s="2"/>
      <c r="L40" s="2"/>
    </row>
    <row r="41" spans="1:12" x14ac:dyDescent="0.2">
      <c r="A41" s="2">
        <v>1.95</v>
      </c>
      <c r="B41" s="2">
        <v>36.54</v>
      </c>
      <c r="C41" s="2">
        <v>35.89</v>
      </c>
      <c r="D41" s="2">
        <v>35.22</v>
      </c>
      <c r="E41" s="2">
        <v>34.58</v>
      </c>
      <c r="K41" s="2"/>
      <c r="L41" s="2"/>
    </row>
    <row r="42" spans="1:12" x14ac:dyDescent="0.2">
      <c r="A42" s="2">
        <v>2</v>
      </c>
      <c r="B42" s="2">
        <v>37.74</v>
      </c>
      <c r="C42" s="2">
        <v>37.08</v>
      </c>
      <c r="D42" s="2">
        <v>36.43</v>
      </c>
      <c r="E42" s="2">
        <v>35.78</v>
      </c>
      <c r="K42" s="2"/>
      <c r="L42" s="2"/>
    </row>
    <row r="43" spans="1:12" x14ac:dyDescent="0.2">
      <c r="A43" s="2">
        <v>2.0499999999999998</v>
      </c>
      <c r="B43" s="2">
        <v>38.950000000000003</v>
      </c>
      <c r="C43" s="2">
        <v>38.29</v>
      </c>
      <c r="D43" s="2">
        <v>37.64</v>
      </c>
      <c r="E43" s="2">
        <v>36.979999999999997</v>
      </c>
      <c r="K43" s="2"/>
      <c r="L43" s="2"/>
    </row>
    <row r="44" spans="1:12" x14ac:dyDescent="0.2">
      <c r="A44" s="2">
        <v>2.1</v>
      </c>
      <c r="B44" s="2">
        <v>40.159999999999997</v>
      </c>
      <c r="C44" s="2">
        <v>39.5</v>
      </c>
      <c r="D44" s="2">
        <v>38.85</v>
      </c>
      <c r="E44" s="2">
        <v>38.19</v>
      </c>
      <c r="K44" s="2"/>
      <c r="L44" s="2"/>
    </row>
    <row r="45" spans="1:12" x14ac:dyDescent="0.2">
      <c r="A45" s="2">
        <v>2.15</v>
      </c>
      <c r="B45" s="2">
        <v>41.37</v>
      </c>
      <c r="C45" s="2">
        <v>40.71</v>
      </c>
      <c r="D45" s="2">
        <v>40.06</v>
      </c>
      <c r="E45" s="2">
        <v>39.4</v>
      </c>
      <c r="K45" s="2"/>
      <c r="L45" s="2"/>
    </row>
    <row r="46" spans="1:12" x14ac:dyDescent="0.2">
      <c r="A46" s="2">
        <v>2.2000000000000002</v>
      </c>
      <c r="B46" s="2">
        <v>42.59</v>
      </c>
      <c r="C46" s="2">
        <v>41.93</v>
      </c>
      <c r="D46" s="2">
        <v>41.27</v>
      </c>
      <c r="E46" s="2">
        <v>40.61</v>
      </c>
      <c r="K46" s="2"/>
      <c r="L46" s="2"/>
    </row>
    <row r="47" spans="1:12" x14ac:dyDescent="0.2">
      <c r="A47" s="2">
        <v>2.25</v>
      </c>
      <c r="B47" s="2">
        <v>43.8</v>
      </c>
      <c r="C47" s="2">
        <v>43.14</v>
      </c>
      <c r="D47" s="2">
        <v>42.48</v>
      </c>
      <c r="E47" s="2">
        <v>41.82</v>
      </c>
      <c r="K47" s="2"/>
      <c r="L47" s="2"/>
    </row>
    <row r="48" spans="1:12" x14ac:dyDescent="0.2">
      <c r="A48" s="2">
        <v>2.2999999999999998</v>
      </c>
      <c r="B48" s="2">
        <v>45.02</v>
      </c>
      <c r="C48" s="2">
        <v>44.36</v>
      </c>
      <c r="D48" s="2">
        <v>43.7</v>
      </c>
      <c r="E48" s="2">
        <v>43.04</v>
      </c>
      <c r="K48" s="2"/>
      <c r="L48" s="2"/>
    </row>
    <row r="49" spans="1:12" x14ac:dyDescent="0.2">
      <c r="A49" s="2">
        <v>2.35</v>
      </c>
      <c r="B49" s="2">
        <v>46.24</v>
      </c>
      <c r="C49" s="2">
        <v>45.58</v>
      </c>
      <c r="D49" s="2">
        <v>44.92</v>
      </c>
      <c r="E49" s="2">
        <v>44.26</v>
      </c>
      <c r="K49" s="2"/>
      <c r="L49" s="2"/>
    </row>
    <row r="50" spans="1:12" x14ac:dyDescent="0.2">
      <c r="A50" s="2">
        <v>2.4</v>
      </c>
      <c r="B50" s="2">
        <v>47.46</v>
      </c>
      <c r="C50" s="2">
        <v>46.8</v>
      </c>
      <c r="D50" s="2">
        <v>46.14</v>
      </c>
      <c r="E50" s="2">
        <v>45.47</v>
      </c>
      <c r="K50" s="2"/>
      <c r="L50" s="2"/>
    </row>
    <row r="51" spans="1:12" x14ac:dyDescent="0.2">
      <c r="A51" s="2">
        <v>2.4500000000000002</v>
      </c>
      <c r="B51" s="2">
        <v>48.68</v>
      </c>
      <c r="C51" s="2">
        <v>48.02</v>
      </c>
      <c r="D51" s="2">
        <v>47.35</v>
      </c>
      <c r="E51" s="2">
        <v>46.69</v>
      </c>
    </row>
    <row r="52" spans="1:12" x14ac:dyDescent="0.2">
      <c r="A52" s="2">
        <v>2.5</v>
      </c>
      <c r="B52" s="2">
        <v>49.9</v>
      </c>
      <c r="C52" s="2">
        <v>49.24</v>
      </c>
      <c r="D52" s="2">
        <v>48.58</v>
      </c>
      <c r="E52" s="2">
        <v>47.91</v>
      </c>
    </row>
    <row r="53" spans="1:12" x14ac:dyDescent="0.2">
      <c r="A53" s="2">
        <v>2.5499999999999998</v>
      </c>
      <c r="B53" s="2">
        <v>51.12</v>
      </c>
      <c r="C53" s="2">
        <v>50.45</v>
      </c>
      <c r="D53" s="2">
        <v>49.8</v>
      </c>
      <c r="E53" s="2">
        <v>49.13</v>
      </c>
    </row>
    <row r="54" spans="1:12" x14ac:dyDescent="0.2">
      <c r="A54" s="2">
        <v>2.6</v>
      </c>
      <c r="B54" s="2">
        <v>52.34</v>
      </c>
      <c r="C54" s="2">
        <v>51.67</v>
      </c>
      <c r="D54" s="2">
        <v>51.02</v>
      </c>
      <c r="E54" s="2">
        <v>50.35</v>
      </c>
    </row>
    <row r="55" spans="1:12" x14ac:dyDescent="0.2">
      <c r="A55" s="2">
        <v>2.65</v>
      </c>
      <c r="B55" s="2">
        <v>53.56</v>
      </c>
      <c r="C55" s="2">
        <v>52.89</v>
      </c>
      <c r="D55" s="2">
        <v>52.24</v>
      </c>
      <c r="E55" s="2">
        <v>51.57</v>
      </c>
    </row>
    <row r="56" spans="1:12" x14ac:dyDescent="0.2">
      <c r="A56" s="2">
        <v>2.7</v>
      </c>
      <c r="B56" s="2">
        <v>54.78</v>
      </c>
      <c r="C56" s="2">
        <v>54.11</v>
      </c>
      <c r="D56" s="2">
        <v>53.46</v>
      </c>
      <c r="E56" s="2">
        <v>52.79</v>
      </c>
    </row>
    <row r="57" spans="1:12" x14ac:dyDescent="0.2">
      <c r="A57" s="2">
        <v>2.75</v>
      </c>
      <c r="B57" s="2">
        <v>56</v>
      </c>
      <c r="C57" s="2">
        <v>55.33</v>
      </c>
      <c r="D57" s="2">
        <v>54.67</v>
      </c>
      <c r="E57" s="2">
        <v>54.01</v>
      </c>
    </row>
    <row r="58" spans="1:12" x14ac:dyDescent="0.2">
      <c r="A58" s="2">
        <v>2.8</v>
      </c>
      <c r="B58" s="2">
        <v>57.22</v>
      </c>
      <c r="C58" s="2">
        <v>56.57</v>
      </c>
      <c r="D58" s="2">
        <v>55.89</v>
      </c>
      <c r="E58" s="2">
        <v>55.23</v>
      </c>
    </row>
    <row r="59" spans="1:12" x14ac:dyDescent="0.2">
      <c r="A59" s="2">
        <v>2.85</v>
      </c>
      <c r="B59" s="2">
        <v>58.44</v>
      </c>
      <c r="C59" s="2">
        <v>57.79</v>
      </c>
      <c r="D59" s="2">
        <v>57.11</v>
      </c>
      <c r="E59" s="2">
        <v>56.45</v>
      </c>
    </row>
    <row r="60" spans="1:12" x14ac:dyDescent="0.2">
      <c r="A60" s="2">
        <v>2.9</v>
      </c>
      <c r="B60" s="2">
        <v>59.66</v>
      </c>
      <c r="C60" s="2">
        <v>59.01</v>
      </c>
      <c r="D60" s="2">
        <v>58.33</v>
      </c>
      <c r="E60" s="2">
        <v>57.67</v>
      </c>
    </row>
    <row r="61" spans="1:12" x14ac:dyDescent="0.2">
      <c r="A61" s="2">
        <v>2.95</v>
      </c>
      <c r="B61" s="2">
        <v>60.88</v>
      </c>
      <c r="C61" s="2">
        <v>60.23</v>
      </c>
      <c r="D61" s="2">
        <v>59.55</v>
      </c>
      <c r="E61" s="2">
        <v>58.89</v>
      </c>
    </row>
    <row r="62" spans="1:12" x14ac:dyDescent="0.2">
      <c r="A62" s="2">
        <v>3</v>
      </c>
      <c r="B62" s="2">
        <v>62.1</v>
      </c>
      <c r="C62" s="2">
        <v>61.45</v>
      </c>
      <c r="D62" s="2">
        <v>60.78</v>
      </c>
      <c r="E62" s="2">
        <v>60.11</v>
      </c>
    </row>
    <row r="63" spans="1:12" x14ac:dyDescent="0.2">
      <c r="A63" s="2">
        <v>3.05</v>
      </c>
      <c r="B63" s="2">
        <v>63.32</v>
      </c>
      <c r="C63" s="2">
        <v>62.66</v>
      </c>
      <c r="D63" s="2">
        <v>62</v>
      </c>
      <c r="E63" s="2">
        <v>61.33</v>
      </c>
    </row>
    <row r="64" spans="1:12" x14ac:dyDescent="0.2">
      <c r="A64" s="2">
        <v>3.1</v>
      </c>
      <c r="B64" s="2">
        <v>64.540000000000006</v>
      </c>
      <c r="C64" s="2">
        <v>63.88</v>
      </c>
      <c r="D64" s="2">
        <v>63.22</v>
      </c>
      <c r="E64" s="2">
        <v>62.55</v>
      </c>
    </row>
    <row r="65" spans="1:5" x14ac:dyDescent="0.2">
      <c r="A65" s="2">
        <v>3.15</v>
      </c>
      <c r="B65" s="2">
        <v>65.760000000000005</v>
      </c>
      <c r="C65" s="2">
        <v>65.099999999999994</v>
      </c>
      <c r="D65" s="2">
        <v>64.44</v>
      </c>
      <c r="E65" s="2">
        <v>63.77</v>
      </c>
    </row>
    <row r="66" spans="1:5" x14ac:dyDescent="0.2">
      <c r="A66" s="2">
        <v>3.2</v>
      </c>
      <c r="B66" s="2">
        <v>66.98</v>
      </c>
      <c r="C66" s="2">
        <v>66.319999999999993</v>
      </c>
      <c r="D66" s="2">
        <v>65.66</v>
      </c>
      <c r="E66" s="2">
        <v>64.989999999999995</v>
      </c>
    </row>
    <row r="67" spans="1:5" x14ac:dyDescent="0.2">
      <c r="A67" s="2">
        <v>3.25</v>
      </c>
      <c r="B67" s="2">
        <v>68.2</v>
      </c>
      <c r="C67" s="2">
        <v>67.540000000000006</v>
      </c>
      <c r="D67" s="2">
        <v>66.88</v>
      </c>
      <c r="E67" s="2">
        <v>66.209999999999994</v>
      </c>
    </row>
    <row r="68" spans="1:5" x14ac:dyDescent="0.2">
      <c r="A68" s="2">
        <v>3.3</v>
      </c>
      <c r="B68" s="2">
        <v>69.42</v>
      </c>
      <c r="C68" s="2">
        <v>68.760000000000005</v>
      </c>
      <c r="D68" s="2">
        <v>68.099999999999994</v>
      </c>
      <c r="E68" s="2">
        <v>67.430000000000007</v>
      </c>
    </row>
    <row r="69" spans="1:5" x14ac:dyDescent="0.2">
      <c r="A69" s="2">
        <v>3.35</v>
      </c>
      <c r="B69" s="2">
        <v>70.64</v>
      </c>
      <c r="C69" s="2">
        <v>69.98</v>
      </c>
      <c r="D69" s="2">
        <v>69.319999999999993</v>
      </c>
      <c r="E69" s="2">
        <v>68.650000000000006</v>
      </c>
    </row>
    <row r="70" spans="1:5" x14ac:dyDescent="0.2">
      <c r="A70" s="2">
        <v>3.4</v>
      </c>
      <c r="B70" s="2">
        <v>71.86</v>
      </c>
      <c r="C70" s="2">
        <v>71.2</v>
      </c>
      <c r="D70" s="2">
        <v>70.540000000000006</v>
      </c>
      <c r="E70" s="2">
        <v>69.87</v>
      </c>
    </row>
    <row r="71" spans="1:5" x14ac:dyDescent="0.2">
      <c r="A71" s="2">
        <v>3.45</v>
      </c>
      <c r="B71" s="2">
        <v>73.08</v>
      </c>
      <c r="C71" s="2">
        <v>72.42</v>
      </c>
      <c r="D71" s="2">
        <v>71.760000000000005</v>
      </c>
      <c r="E71" s="2">
        <v>71.09</v>
      </c>
    </row>
    <row r="72" spans="1:5" x14ac:dyDescent="0.2">
      <c r="A72" s="2">
        <v>3.5</v>
      </c>
      <c r="B72" s="2">
        <v>74.3</v>
      </c>
      <c r="C72" s="2">
        <v>73.64</v>
      </c>
      <c r="D72" s="2">
        <v>72.989999999999995</v>
      </c>
      <c r="E72" s="2">
        <v>72.31</v>
      </c>
    </row>
    <row r="73" spans="1:5" x14ac:dyDescent="0.2">
      <c r="A73" s="2">
        <v>3.55</v>
      </c>
      <c r="B73" s="2">
        <v>75.52</v>
      </c>
      <c r="C73" s="2">
        <v>74.849999999999994</v>
      </c>
      <c r="D73" s="2">
        <v>74.209999999999994</v>
      </c>
      <c r="E73" s="2">
        <v>73.53</v>
      </c>
    </row>
    <row r="74" spans="1:5" x14ac:dyDescent="0.2">
      <c r="A74" s="2">
        <v>3.6</v>
      </c>
      <c r="B74" s="2">
        <v>76.739999999999995</v>
      </c>
      <c r="C74" s="2">
        <v>76.069999999999993</v>
      </c>
      <c r="D74" s="2">
        <v>75.53</v>
      </c>
      <c r="E74" s="2">
        <v>74.75</v>
      </c>
    </row>
    <row r="75" spans="1:5" x14ac:dyDescent="0.2">
      <c r="A75" s="2">
        <v>3.65</v>
      </c>
      <c r="B75" s="2">
        <v>77.959999999999994</v>
      </c>
      <c r="C75" s="2">
        <v>77.290000000000006</v>
      </c>
      <c r="D75" s="2">
        <v>76.650000000000006</v>
      </c>
      <c r="E75" s="2">
        <v>75.97</v>
      </c>
    </row>
    <row r="76" spans="1:5" x14ac:dyDescent="0.2">
      <c r="A76" s="2">
        <v>3.7</v>
      </c>
      <c r="B76" s="2">
        <v>79.180000000000007</v>
      </c>
      <c r="C76" s="2">
        <v>78.510000000000005</v>
      </c>
      <c r="D76" s="2">
        <v>77.87</v>
      </c>
      <c r="E76" s="2">
        <v>77.19</v>
      </c>
    </row>
    <row r="77" spans="1:5" x14ac:dyDescent="0.2">
      <c r="A77" s="2">
        <v>3.75</v>
      </c>
      <c r="B77" s="2">
        <v>80.400000000000006</v>
      </c>
      <c r="C77" s="2">
        <v>79.73</v>
      </c>
      <c r="D77" s="2">
        <v>79.069999999999993</v>
      </c>
      <c r="E77" s="2">
        <v>78.42</v>
      </c>
    </row>
    <row r="78" spans="1:5" x14ac:dyDescent="0.2">
      <c r="A78" s="2">
        <v>3.8</v>
      </c>
      <c r="B78" s="2">
        <v>81.62</v>
      </c>
      <c r="C78" s="2">
        <v>80.97</v>
      </c>
      <c r="D78" s="2">
        <v>80.290000000000006</v>
      </c>
      <c r="E78" s="2">
        <v>79.64</v>
      </c>
    </row>
    <row r="79" spans="1:5" x14ac:dyDescent="0.2">
      <c r="A79" s="2">
        <v>3.85</v>
      </c>
      <c r="B79" s="2">
        <v>82.84</v>
      </c>
      <c r="C79" s="2">
        <v>82.19</v>
      </c>
      <c r="D79" s="2">
        <v>81.510000000000005</v>
      </c>
      <c r="E79" s="2">
        <v>80.86</v>
      </c>
    </row>
    <row r="80" spans="1:5" x14ac:dyDescent="0.2">
      <c r="A80" s="2">
        <v>3.9</v>
      </c>
      <c r="B80" s="2">
        <v>84.06</v>
      </c>
      <c r="C80" s="2">
        <v>83.41</v>
      </c>
      <c r="D80" s="2">
        <v>82.73</v>
      </c>
      <c r="E80" s="2">
        <v>82.08</v>
      </c>
    </row>
    <row r="81" spans="1:5" x14ac:dyDescent="0.2">
      <c r="A81" s="2">
        <v>3.95</v>
      </c>
      <c r="B81" s="2">
        <v>85.28</v>
      </c>
      <c r="C81" s="2">
        <v>84.63</v>
      </c>
      <c r="D81" s="2">
        <v>83.95</v>
      </c>
      <c r="E81" s="2">
        <v>83.3</v>
      </c>
    </row>
    <row r="82" spans="1:5" x14ac:dyDescent="0.2">
      <c r="A82" s="2">
        <v>4</v>
      </c>
      <c r="B82" s="2">
        <v>86.5</v>
      </c>
      <c r="C82" s="2">
        <v>85.85</v>
      </c>
      <c r="D82" s="2">
        <v>85.18</v>
      </c>
      <c r="E82" s="2">
        <v>84.52</v>
      </c>
    </row>
    <row r="83" spans="1:5" x14ac:dyDescent="0.2">
      <c r="A83" s="2">
        <v>4.05</v>
      </c>
      <c r="B83" s="2">
        <v>87.73</v>
      </c>
      <c r="C83" s="2">
        <v>87.06</v>
      </c>
      <c r="D83" s="2">
        <v>86.4</v>
      </c>
      <c r="E83" s="2">
        <v>85.74</v>
      </c>
    </row>
    <row r="84" spans="1:5" x14ac:dyDescent="0.2">
      <c r="A84" s="2">
        <v>4.0999999999999996</v>
      </c>
      <c r="B84" s="2">
        <v>88.95</v>
      </c>
      <c r="C84" s="2">
        <v>88.28</v>
      </c>
      <c r="D84" s="2">
        <v>87.62</v>
      </c>
      <c r="E84" s="2">
        <v>86.96</v>
      </c>
    </row>
    <row r="85" spans="1:5" x14ac:dyDescent="0.2">
      <c r="A85" s="2">
        <v>4.1500000000000004</v>
      </c>
      <c r="B85" s="2">
        <v>90.17</v>
      </c>
      <c r="C85" s="2">
        <v>89.5</v>
      </c>
      <c r="D85" s="2">
        <v>88.84</v>
      </c>
      <c r="E85" s="2">
        <v>88.18</v>
      </c>
    </row>
    <row r="86" spans="1:5" x14ac:dyDescent="0.2">
      <c r="A86" s="2">
        <v>4.2</v>
      </c>
      <c r="B86" s="2">
        <v>91.39</v>
      </c>
      <c r="C86" s="2">
        <v>90.72</v>
      </c>
      <c r="D86" s="2">
        <v>90.06</v>
      </c>
      <c r="E86" s="2">
        <v>89.4</v>
      </c>
    </row>
    <row r="87" spans="1:5" x14ac:dyDescent="0.2">
      <c r="A87" s="2">
        <v>4.25</v>
      </c>
      <c r="B87" s="2">
        <v>92.61</v>
      </c>
      <c r="C87" s="2">
        <v>91.94</v>
      </c>
      <c r="D87" s="2">
        <v>91.28</v>
      </c>
      <c r="E87" s="2">
        <v>90.62</v>
      </c>
    </row>
    <row r="88" spans="1:5" x14ac:dyDescent="0.2">
      <c r="A88" s="2">
        <v>4.3</v>
      </c>
      <c r="B88" s="2">
        <v>93.83</v>
      </c>
      <c r="C88" s="2">
        <v>93.16</v>
      </c>
      <c r="D88" s="2">
        <v>92.5</v>
      </c>
      <c r="E88" s="2">
        <v>91.84</v>
      </c>
    </row>
    <row r="89" spans="1:5" x14ac:dyDescent="0.2">
      <c r="A89" s="2">
        <v>4.3499999999999996</v>
      </c>
      <c r="B89" s="2">
        <v>95.05</v>
      </c>
      <c r="C89" s="2">
        <v>94.38</v>
      </c>
      <c r="D89" s="2">
        <v>93.72</v>
      </c>
      <c r="E89" s="2">
        <v>93.06</v>
      </c>
    </row>
    <row r="90" spans="1:5" x14ac:dyDescent="0.2">
      <c r="A90" s="2">
        <v>4.4000000000000004</v>
      </c>
      <c r="B90" s="2">
        <v>96.27</v>
      </c>
      <c r="C90" s="2">
        <v>95.6</v>
      </c>
      <c r="D90" s="2">
        <v>94.94</v>
      </c>
      <c r="E90" s="2">
        <v>94.28</v>
      </c>
    </row>
    <row r="91" spans="1:5" x14ac:dyDescent="0.2">
      <c r="A91" s="2">
        <v>4.45</v>
      </c>
      <c r="B91" s="2">
        <v>97.49</v>
      </c>
      <c r="C91" s="2">
        <v>96.82</v>
      </c>
      <c r="D91" s="2">
        <v>96.16</v>
      </c>
      <c r="E91" s="2">
        <v>95.5</v>
      </c>
    </row>
    <row r="92" spans="1:5" x14ac:dyDescent="0.2">
      <c r="A92" s="2">
        <v>4.5</v>
      </c>
      <c r="B92" s="2">
        <v>98.71</v>
      </c>
      <c r="C92" s="2">
        <v>98.04</v>
      </c>
      <c r="D92" s="2">
        <v>97.39</v>
      </c>
      <c r="E92" s="2">
        <v>96.71</v>
      </c>
    </row>
    <row r="93" spans="1:5" x14ac:dyDescent="0.2">
      <c r="A93" s="2">
        <v>4.55</v>
      </c>
      <c r="B93" s="2">
        <v>99.93</v>
      </c>
      <c r="C93" s="2">
        <v>99.25</v>
      </c>
      <c r="D93" s="2">
        <v>98.61</v>
      </c>
      <c r="E93" s="2">
        <v>97.93</v>
      </c>
    </row>
    <row r="94" spans="1:5" x14ac:dyDescent="0.2">
      <c r="A94" s="2">
        <v>4.5999999999999996</v>
      </c>
      <c r="B94" s="2">
        <v>101.15</v>
      </c>
      <c r="C94" s="2">
        <v>100.47</v>
      </c>
      <c r="D94" s="2">
        <v>99.83</v>
      </c>
      <c r="E94" s="2">
        <v>99.15</v>
      </c>
    </row>
    <row r="95" spans="1:5" x14ac:dyDescent="0.2">
      <c r="A95" s="2">
        <v>4.6500000000000004</v>
      </c>
      <c r="B95" s="2">
        <v>102.377</v>
      </c>
      <c r="C95" s="2">
        <v>101.69</v>
      </c>
      <c r="D95" s="2">
        <v>101.05</v>
      </c>
      <c r="E95" s="2">
        <v>100.37</v>
      </c>
    </row>
    <row r="96" spans="1:5" x14ac:dyDescent="0.2">
      <c r="A96" s="2">
        <v>4.7</v>
      </c>
      <c r="B96" s="2">
        <v>103.59</v>
      </c>
      <c r="C96" s="2">
        <v>102.91</v>
      </c>
      <c r="D96" s="2">
        <v>102.27</v>
      </c>
      <c r="E96" s="2">
        <v>101.59</v>
      </c>
    </row>
    <row r="97" spans="1:5" x14ac:dyDescent="0.2">
      <c r="A97" s="2">
        <v>4.75</v>
      </c>
      <c r="B97" s="2">
        <v>104.81</v>
      </c>
      <c r="C97" s="2">
        <v>104.13</v>
      </c>
      <c r="D97" s="2">
        <v>103.47</v>
      </c>
      <c r="E97" s="2">
        <v>102.82</v>
      </c>
    </row>
    <row r="98" spans="1:5" x14ac:dyDescent="0.2">
      <c r="A98" s="2">
        <v>4.8</v>
      </c>
      <c r="B98" s="2">
        <v>106.03</v>
      </c>
      <c r="C98" s="2">
        <v>105.38</v>
      </c>
      <c r="D98" s="2">
        <v>104.69</v>
      </c>
      <c r="E98" s="2">
        <v>104.04</v>
      </c>
    </row>
    <row r="99" spans="1:5" x14ac:dyDescent="0.2">
      <c r="A99" s="2">
        <v>4.8499999999999996</v>
      </c>
      <c r="B99" s="2">
        <v>107.25</v>
      </c>
      <c r="C99" s="2">
        <v>106.6</v>
      </c>
      <c r="D99" s="2">
        <v>105.91</v>
      </c>
      <c r="E99" s="2">
        <v>105.26</v>
      </c>
    </row>
    <row r="100" spans="1:5" x14ac:dyDescent="0.2">
      <c r="A100" s="2">
        <v>4.9000000000000004</v>
      </c>
      <c r="B100" s="2">
        <v>108.47</v>
      </c>
      <c r="C100" s="2">
        <v>107.82</v>
      </c>
      <c r="D100" s="2">
        <v>107.13</v>
      </c>
      <c r="E100" s="2">
        <v>106.48</v>
      </c>
    </row>
    <row r="101" spans="1:5" x14ac:dyDescent="0.2">
      <c r="A101" s="2">
        <v>4.95</v>
      </c>
      <c r="B101" s="2">
        <v>109.69</v>
      </c>
      <c r="C101" s="2">
        <v>109.04</v>
      </c>
      <c r="D101" s="2">
        <v>108.35</v>
      </c>
      <c r="E101" s="2">
        <v>107.7</v>
      </c>
    </row>
    <row r="102" spans="1:5" x14ac:dyDescent="0.2">
      <c r="A102" s="2">
        <v>5</v>
      </c>
      <c r="B102" s="2">
        <v>110.91</v>
      </c>
      <c r="C102" s="2">
        <v>110.26</v>
      </c>
      <c r="D102" s="2">
        <v>109.58</v>
      </c>
      <c r="E102" s="2">
        <v>108.92</v>
      </c>
    </row>
    <row r="103" spans="1:5" x14ac:dyDescent="0.2">
      <c r="A103" s="2">
        <v>5.05</v>
      </c>
      <c r="B103" s="2">
        <v>112.13</v>
      </c>
      <c r="C103" s="2">
        <v>111.46</v>
      </c>
      <c r="D103" s="2">
        <v>110.8</v>
      </c>
      <c r="E103" s="2">
        <v>110.14</v>
      </c>
    </row>
    <row r="104" spans="1:5" x14ac:dyDescent="0.2">
      <c r="A104" s="2">
        <v>5.0999999999999996</v>
      </c>
      <c r="B104" s="2">
        <v>113.35</v>
      </c>
      <c r="C104" s="2">
        <v>112.68</v>
      </c>
      <c r="D104" s="2">
        <v>112.02</v>
      </c>
      <c r="E104" s="2">
        <v>111.36</v>
      </c>
    </row>
    <row r="105" spans="1:5" x14ac:dyDescent="0.2">
      <c r="A105" s="2">
        <v>5.15</v>
      </c>
      <c r="B105" s="2">
        <v>114.57</v>
      </c>
      <c r="C105" s="2">
        <v>113.91</v>
      </c>
      <c r="D105" s="2">
        <v>113.24</v>
      </c>
      <c r="E105" s="2">
        <v>112.58</v>
      </c>
    </row>
    <row r="106" spans="1:5" x14ac:dyDescent="0.2">
      <c r="A106" s="2">
        <v>5.2</v>
      </c>
      <c r="B106" s="2">
        <v>115.79</v>
      </c>
      <c r="C106" s="2">
        <v>115.13</v>
      </c>
      <c r="D106" s="2">
        <v>114.46</v>
      </c>
      <c r="E106" s="2">
        <v>113.8</v>
      </c>
    </row>
    <row r="107" spans="1:5" x14ac:dyDescent="0.2">
      <c r="A107" s="2">
        <v>5.25</v>
      </c>
      <c r="B107" s="2">
        <v>117.01</v>
      </c>
      <c r="C107" s="2">
        <v>116.35</v>
      </c>
      <c r="D107" s="2">
        <v>115.68</v>
      </c>
      <c r="E107" s="2">
        <v>115.02</v>
      </c>
    </row>
    <row r="108" spans="1:5" x14ac:dyDescent="0.2">
      <c r="A108" s="2">
        <v>5.3</v>
      </c>
      <c r="B108" s="2">
        <v>118.23</v>
      </c>
      <c r="C108" s="2">
        <v>117.57</v>
      </c>
      <c r="D108" s="2">
        <v>116.9</v>
      </c>
      <c r="E108" s="2">
        <v>116.24</v>
      </c>
    </row>
    <row r="109" spans="1:5" x14ac:dyDescent="0.2">
      <c r="A109" s="2">
        <v>5.35</v>
      </c>
      <c r="B109" s="2">
        <v>119.45</v>
      </c>
      <c r="C109" s="2">
        <v>118.79</v>
      </c>
      <c r="D109" s="2">
        <v>118.12</v>
      </c>
      <c r="E109" s="2">
        <v>117.46</v>
      </c>
    </row>
    <row r="110" spans="1:5" x14ac:dyDescent="0.2">
      <c r="A110" s="2">
        <v>5.4</v>
      </c>
      <c r="B110" s="2">
        <v>120.67</v>
      </c>
      <c r="C110" s="2">
        <v>120.01</v>
      </c>
      <c r="D110" s="2">
        <v>119.34</v>
      </c>
      <c r="E110" s="2">
        <v>118.68</v>
      </c>
    </row>
    <row r="111" spans="1:5" x14ac:dyDescent="0.2">
      <c r="A111" s="2">
        <v>5.45</v>
      </c>
      <c r="B111" s="2">
        <v>121.89</v>
      </c>
      <c r="C111" s="2">
        <v>121.23</v>
      </c>
      <c r="D111" s="2">
        <v>120.56</v>
      </c>
      <c r="E111" s="2">
        <v>119.9</v>
      </c>
    </row>
    <row r="112" spans="1:5" x14ac:dyDescent="0.2">
      <c r="A112" s="2">
        <v>5.5</v>
      </c>
      <c r="B112" s="2">
        <v>123.11</v>
      </c>
      <c r="C112" s="2">
        <v>122.45</v>
      </c>
      <c r="D112" s="2">
        <v>121.8</v>
      </c>
      <c r="E112" s="2">
        <v>121.12</v>
      </c>
    </row>
    <row r="113" spans="1:5" x14ac:dyDescent="0.2">
      <c r="A113" s="2">
        <v>5.55</v>
      </c>
      <c r="B113" s="2">
        <v>124.33</v>
      </c>
      <c r="C113" s="2">
        <v>123.65</v>
      </c>
      <c r="D113" s="2">
        <v>123.02</v>
      </c>
      <c r="E113" s="2">
        <v>122.34</v>
      </c>
    </row>
    <row r="114" spans="1:5" x14ac:dyDescent="0.2">
      <c r="A114" s="2">
        <v>5.6</v>
      </c>
      <c r="B114" s="2">
        <v>125.55</v>
      </c>
      <c r="C114" s="2">
        <v>124.87</v>
      </c>
      <c r="D114" s="2">
        <v>124.24</v>
      </c>
      <c r="E114" s="2">
        <v>123.56</v>
      </c>
    </row>
    <row r="115" spans="1:5" x14ac:dyDescent="0.2">
      <c r="A115" s="2">
        <v>5.65</v>
      </c>
      <c r="B115" s="2">
        <v>126.77</v>
      </c>
      <c r="C115" s="2">
        <v>126.09</v>
      </c>
      <c r="D115" s="2">
        <v>125.46</v>
      </c>
      <c r="E115" s="2">
        <v>124.78</v>
      </c>
    </row>
    <row r="116" spans="1:5" x14ac:dyDescent="0.2">
      <c r="A116" s="2">
        <v>5.7</v>
      </c>
      <c r="B116" s="2">
        <v>127.99</v>
      </c>
      <c r="C116" s="2">
        <v>127.31</v>
      </c>
      <c r="D116" s="2">
        <v>126.68</v>
      </c>
      <c r="E116" s="2">
        <v>126</v>
      </c>
    </row>
    <row r="117" spans="1:5" x14ac:dyDescent="0.2">
      <c r="A117" s="2">
        <v>5.75</v>
      </c>
      <c r="B117" s="2">
        <v>129.21</v>
      </c>
      <c r="C117" s="2">
        <v>128.53</v>
      </c>
      <c r="D117" s="2">
        <v>127.87</v>
      </c>
      <c r="E117" s="2">
        <v>127.23</v>
      </c>
    </row>
    <row r="118" spans="1:5" x14ac:dyDescent="0.2">
      <c r="A118" s="2">
        <v>5.8</v>
      </c>
      <c r="B118" s="2">
        <v>130.43</v>
      </c>
      <c r="C118" s="2">
        <v>129.79</v>
      </c>
      <c r="D118" s="2">
        <v>129.09</v>
      </c>
      <c r="E118" s="2">
        <v>128.44999999999999</v>
      </c>
    </row>
    <row r="119" spans="1:5" x14ac:dyDescent="0.2">
      <c r="A119" s="2">
        <v>5.85</v>
      </c>
      <c r="B119" s="2">
        <v>131.65</v>
      </c>
      <c r="C119" s="2">
        <v>131.01</v>
      </c>
      <c r="D119" s="2">
        <v>130.31</v>
      </c>
      <c r="E119" s="2">
        <v>129.66999999999999</v>
      </c>
    </row>
    <row r="120" spans="1:5" x14ac:dyDescent="0.2">
      <c r="A120" s="2">
        <v>5.9</v>
      </c>
      <c r="B120" s="2">
        <v>132.87</v>
      </c>
      <c r="C120" s="2">
        <v>132.22999999999999</v>
      </c>
      <c r="D120" s="2">
        <v>131.53</v>
      </c>
      <c r="E120" s="2">
        <v>130.88999999999999</v>
      </c>
    </row>
    <row r="121" spans="1:5" x14ac:dyDescent="0.2">
      <c r="A121" s="2">
        <v>5.95</v>
      </c>
      <c r="B121" s="2">
        <v>134.09</v>
      </c>
      <c r="C121" s="2">
        <v>133.44999999999999</v>
      </c>
      <c r="D121" s="2">
        <v>132.75</v>
      </c>
      <c r="E121" s="2">
        <v>132.11000000000001</v>
      </c>
    </row>
    <row r="122" spans="1:5" x14ac:dyDescent="0.2">
      <c r="A122" s="2">
        <v>6</v>
      </c>
      <c r="B122" s="2">
        <v>135.31</v>
      </c>
      <c r="C122" s="2">
        <v>134.66999999999999</v>
      </c>
      <c r="D122" s="2">
        <v>133.99</v>
      </c>
      <c r="E122" s="2">
        <v>133.32</v>
      </c>
    </row>
    <row r="123" spans="1:5" x14ac:dyDescent="0.2">
      <c r="A123" s="2">
        <v>6.05</v>
      </c>
      <c r="B123" s="2">
        <v>136.53</v>
      </c>
      <c r="C123" s="2">
        <v>135.87</v>
      </c>
      <c r="D123" s="2">
        <v>135.21</v>
      </c>
      <c r="E123" s="2">
        <v>134.54</v>
      </c>
    </row>
    <row r="124" spans="1:5" x14ac:dyDescent="0.2">
      <c r="A124" s="2">
        <v>6.1</v>
      </c>
      <c r="B124" s="2">
        <v>137.75</v>
      </c>
      <c r="C124" s="2">
        <v>137.09</v>
      </c>
      <c r="D124" s="2">
        <v>136.43</v>
      </c>
      <c r="E124" s="2">
        <v>134.76</v>
      </c>
    </row>
    <row r="125" spans="1:5" x14ac:dyDescent="0.2">
      <c r="A125" s="2">
        <v>6.15</v>
      </c>
      <c r="B125" s="2">
        <v>138.97</v>
      </c>
      <c r="C125" s="2">
        <v>138.31</v>
      </c>
      <c r="D125" s="2">
        <v>137.65</v>
      </c>
      <c r="E125" s="2">
        <v>136.97999999999999</v>
      </c>
    </row>
    <row r="126" spans="1:5" x14ac:dyDescent="0.2">
      <c r="A126" s="2">
        <v>6.2</v>
      </c>
      <c r="B126" s="2">
        <v>140.19</v>
      </c>
      <c r="C126" s="2">
        <v>139.53</v>
      </c>
      <c r="D126" s="2">
        <v>138.87</v>
      </c>
      <c r="E126" s="2">
        <v>138.19999999999999</v>
      </c>
    </row>
    <row r="127" spans="1:5" x14ac:dyDescent="0.2">
      <c r="A127" s="2">
        <v>6.25</v>
      </c>
      <c r="B127" s="2">
        <v>141.41</v>
      </c>
      <c r="C127" s="2">
        <v>140.75</v>
      </c>
      <c r="D127" s="2">
        <v>140.09</v>
      </c>
      <c r="E127" s="2">
        <v>139.41999999999999</v>
      </c>
    </row>
    <row r="128" spans="1:5" x14ac:dyDescent="0.2">
      <c r="A128" s="2">
        <v>6.3</v>
      </c>
      <c r="B128" s="2">
        <v>142.63</v>
      </c>
      <c r="C128" s="2">
        <v>141.97</v>
      </c>
      <c r="D128" s="2">
        <v>141.31</v>
      </c>
      <c r="E128" s="2">
        <v>140.63999999999999</v>
      </c>
    </row>
    <row r="129" spans="1:5" x14ac:dyDescent="0.2">
      <c r="A129" s="2">
        <v>6.35</v>
      </c>
      <c r="B129" s="2">
        <v>143.85</v>
      </c>
      <c r="C129" s="2">
        <v>143.19</v>
      </c>
      <c r="D129" s="2">
        <v>142.53</v>
      </c>
      <c r="E129" s="2">
        <v>141.86000000000001</v>
      </c>
    </row>
    <row r="130" spans="1:5" x14ac:dyDescent="0.2">
      <c r="A130" s="2">
        <v>6.4</v>
      </c>
      <c r="B130" s="2">
        <v>145.07</v>
      </c>
      <c r="C130" s="2">
        <v>144.41</v>
      </c>
      <c r="D130" s="2">
        <v>143.75</v>
      </c>
      <c r="E130" s="2">
        <v>143.08000000000001</v>
      </c>
    </row>
    <row r="131" spans="1:5" x14ac:dyDescent="0.2">
      <c r="A131" s="2">
        <v>6.45</v>
      </c>
      <c r="B131" s="2">
        <v>146.29</v>
      </c>
      <c r="C131" s="2">
        <v>145.63</v>
      </c>
      <c r="D131" s="2">
        <v>144.97</v>
      </c>
      <c r="E131" s="2">
        <v>144.30000000000001</v>
      </c>
    </row>
    <row r="132" spans="1:5" x14ac:dyDescent="0.2">
      <c r="A132" s="2">
        <v>6.5</v>
      </c>
      <c r="B132" s="2">
        <v>147.51</v>
      </c>
      <c r="C132" s="2">
        <v>146.85</v>
      </c>
      <c r="D132" s="2">
        <v>146.19999999999999</v>
      </c>
      <c r="E132" s="2">
        <v>145.52000000000001</v>
      </c>
    </row>
    <row r="133" spans="1:5" x14ac:dyDescent="0.2">
      <c r="A133" s="2">
        <v>6.55</v>
      </c>
      <c r="B133" s="2">
        <v>148.72999999999999</v>
      </c>
      <c r="C133" s="2">
        <v>148.05000000000001</v>
      </c>
      <c r="D133" s="2">
        <v>147.41999999999999</v>
      </c>
      <c r="E133" s="2">
        <v>146.74</v>
      </c>
    </row>
    <row r="134" spans="1:5" x14ac:dyDescent="0.2">
      <c r="A134" s="2">
        <v>6.6</v>
      </c>
      <c r="B134" s="2">
        <v>149.94999999999999</v>
      </c>
      <c r="C134" s="2">
        <v>149.27000000000001</v>
      </c>
      <c r="D134" s="2">
        <v>148.63999999999999</v>
      </c>
      <c r="E134" s="2">
        <v>147.96</v>
      </c>
    </row>
    <row r="135" spans="1:5" x14ac:dyDescent="0.2">
      <c r="A135" s="2">
        <v>6.65</v>
      </c>
      <c r="B135" s="2">
        <v>151.16999999999999</v>
      </c>
      <c r="C135" s="2">
        <v>150.49</v>
      </c>
      <c r="D135" s="2">
        <v>149.86000000000001</v>
      </c>
      <c r="E135" s="2">
        <v>149.18</v>
      </c>
    </row>
    <row r="136" spans="1:5" x14ac:dyDescent="0.2">
      <c r="A136" s="2">
        <v>6.7</v>
      </c>
      <c r="B136" s="2">
        <v>152.38999999999999</v>
      </c>
      <c r="C136" s="2">
        <v>151.71</v>
      </c>
      <c r="D136" s="2">
        <v>151.08000000000001</v>
      </c>
      <c r="E136" s="2">
        <v>150.4</v>
      </c>
    </row>
    <row r="137" spans="1:5" x14ac:dyDescent="0.2">
      <c r="A137" s="2">
        <v>6.75</v>
      </c>
      <c r="B137" s="2">
        <v>153.62</v>
      </c>
      <c r="C137" s="2">
        <v>152.93</v>
      </c>
      <c r="D137" s="2">
        <v>152.27000000000001</v>
      </c>
      <c r="E137" s="2">
        <v>151.63</v>
      </c>
    </row>
    <row r="138" spans="1:5" x14ac:dyDescent="0.2">
      <c r="A138" s="2">
        <v>6.8</v>
      </c>
      <c r="B138" s="2">
        <v>154.84</v>
      </c>
      <c r="C138" s="2">
        <v>154.19</v>
      </c>
      <c r="D138" s="2">
        <v>153.49</v>
      </c>
      <c r="E138" s="2">
        <v>152.85</v>
      </c>
    </row>
    <row r="139" spans="1:5" x14ac:dyDescent="0.2">
      <c r="A139" s="2">
        <v>6.85</v>
      </c>
      <c r="B139" s="2">
        <v>156.06</v>
      </c>
      <c r="C139" s="2">
        <v>155.41</v>
      </c>
      <c r="D139" s="2">
        <v>154.71</v>
      </c>
      <c r="E139" s="2">
        <v>154.07</v>
      </c>
    </row>
    <row r="140" spans="1:5" x14ac:dyDescent="0.2">
      <c r="A140" s="2">
        <v>6.9</v>
      </c>
      <c r="B140" s="2">
        <v>157.28</v>
      </c>
      <c r="C140" s="2">
        <v>156.63</v>
      </c>
      <c r="D140" s="2">
        <v>155.93</v>
      </c>
      <c r="E140" s="2">
        <v>155.29</v>
      </c>
    </row>
    <row r="141" spans="1:5" x14ac:dyDescent="0.2">
      <c r="A141" s="2">
        <v>6.95</v>
      </c>
      <c r="B141" s="2">
        <v>158.5</v>
      </c>
      <c r="C141" s="2">
        <v>157.85</v>
      </c>
      <c r="D141" s="2">
        <v>157.15</v>
      </c>
      <c r="E141" s="2">
        <v>156.51</v>
      </c>
    </row>
    <row r="142" spans="1:5" x14ac:dyDescent="0.2">
      <c r="A142" s="2">
        <v>7</v>
      </c>
      <c r="B142" s="2">
        <v>159.72</v>
      </c>
      <c r="C142" s="2">
        <v>159.08000000000001</v>
      </c>
      <c r="D142" s="2">
        <v>158.38999999999999</v>
      </c>
      <c r="E142" s="2">
        <v>157.72999999999999</v>
      </c>
    </row>
    <row r="143" spans="1:5" x14ac:dyDescent="0.2">
      <c r="A143" s="2">
        <v>7.05</v>
      </c>
      <c r="B143" s="2">
        <v>160.94</v>
      </c>
      <c r="C143" s="2">
        <v>160.27000000000001</v>
      </c>
      <c r="D143" s="2">
        <v>159.61000000000001</v>
      </c>
      <c r="E143" s="2">
        <v>158.94999999999999</v>
      </c>
    </row>
    <row r="144" spans="1:5" x14ac:dyDescent="0.2">
      <c r="A144" s="2">
        <v>7.1</v>
      </c>
      <c r="B144" s="2">
        <v>162.16</v>
      </c>
      <c r="C144" s="2">
        <v>161.49</v>
      </c>
      <c r="D144" s="2">
        <v>160.83000000000001</v>
      </c>
      <c r="E144" s="2">
        <v>160.16999999999999</v>
      </c>
    </row>
    <row r="145" spans="1:11" x14ac:dyDescent="0.2">
      <c r="A145" s="2">
        <v>7.15</v>
      </c>
      <c r="B145" s="2">
        <v>163.38</v>
      </c>
      <c r="C145" s="2">
        <v>162.71</v>
      </c>
      <c r="D145" s="2">
        <v>162.05000000000001</v>
      </c>
      <c r="E145" s="2">
        <v>161.38999999999999</v>
      </c>
    </row>
    <row r="146" spans="1:11" x14ac:dyDescent="0.2">
      <c r="A146" s="2">
        <v>7.2</v>
      </c>
      <c r="B146" s="2">
        <v>164.6</v>
      </c>
      <c r="C146" s="2">
        <v>163.93</v>
      </c>
      <c r="D146" s="2">
        <v>163.27000000000001</v>
      </c>
      <c r="E146" s="2">
        <v>162.61000000000001</v>
      </c>
    </row>
    <row r="147" spans="1:11" x14ac:dyDescent="0.2">
      <c r="A147" s="2">
        <v>7.25</v>
      </c>
      <c r="B147" s="2">
        <v>165.82</v>
      </c>
      <c r="C147" s="2">
        <v>165.15</v>
      </c>
      <c r="D147" s="2">
        <v>164.49</v>
      </c>
      <c r="E147" s="2">
        <v>163.83000000000001</v>
      </c>
    </row>
    <row r="148" spans="1:11" x14ac:dyDescent="0.2">
      <c r="A148" s="2">
        <v>7.3</v>
      </c>
      <c r="B148" s="2">
        <v>167.04</v>
      </c>
      <c r="C148" s="2">
        <v>166.59</v>
      </c>
      <c r="D148" s="2">
        <v>166.93</v>
      </c>
      <c r="E148" s="2">
        <v>165.05</v>
      </c>
    </row>
    <row r="149" spans="1:11" x14ac:dyDescent="0.2">
      <c r="A149" s="2">
        <v>7.35</v>
      </c>
      <c r="B149" s="2">
        <v>168.26</v>
      </c>
      <c r="C149" s="2">
        <v>167.59</v>
      </c>
      <c r="D149" s="2">
        <v>166.93</v>
      </c>
      <c r="E149" s="2">
        <v>166.27</v>
      </c>
    </row>
    <row r="150" spans="1:11" x14ac:dyDescent="0.2">
      <c r="A150" s="2">
        <v>7.4</v>
      </c>
      <c r="B150" s="2">
        <v>169.48</v>
      </c>
      <c r="C150" s="2">
        <v>168.81</v>
      </c>
      <c r="D150" s="2">
        <v>168.15</v>
      </c>
      <c r="E150" s="2">
        <v>167.49</v>
      </c>
    </row>
    <row r="151" spans="1:11" x14ac:dyDescent="0.2">
      <c r="A151" s="2">
        <v>7.45</v>
      </c>
      <c r="B151" s="2">
        <v>170.7</v>
      </c>
      <c r="C151" s="2">
        <v>170.03</v>
      </c>
      <c r="D151" s="2">
        <v>169.37</v>
      </c>
      <c r="E151" s="2">
        <v>168.71</v>
      </c>
    </row>
    <row r="152" spans="1:11" x14ac:dyDescent="0.2">
      <c r="A152" s="2">
        <v>7.5</v>
      </c>
      <c r="B152" s="2">
        <v>171.92</v>
      </c>
      <c r="C152" s="2">
        <v>171.25</v>
      </c>
      <c r="D152" s="2">
        <v>170.61</v>
      </c>
      <c r="E152" s="2">
        <v>169.92</v>
      </c>
    </row>
    <row r="153" spans="1:11" x14ac:dyDescent="0.2">
      <c r="A153" s="2">
        <v>7.55</v>
      </c>
      <c r="B153" s="2">
        <v>173.14</v>
      </c>
      <c r="C153" s="2">
        <v>172.45</v>
      </c>
      <c r="D153" s="2">
        <v>171.83</v>
      </c>
      <c r="E153" s="2">
        <v>171.14</v>
      </c>
    </row>
    <row r="154" spans="1:11" x14ac:dyDescent="0.2">
      <c r="A154" s="2">
        <v>7.6</v>
      </c>
      <c r="B154" s="2">
        <v>174.36</v>
      </c>
      <c r="C154" s="2">
        <v>173.67</v>
      </c>
      <c r="D154" s="2">
        <v>173.05</v>
      </c>
      <c r="E154" s="2">
        <v>172.36</v>
      </c>
    </row>
    <row r="155" spans="1:11" x14ac:dyDescent="0.2">
      <c r="A155" s="2">
        <v>7.65</v>
      </c>
      <c r="B155" s="2">
        <v>175.58</v>
      </c>
      <c r="C155" s="2">
        <v>174.89</v>
      </c>
      <c r="D155" s="2">
        <v>174.27</v>
      </c>
      <c r="E155" s="2">
        <v>173.58</v>
      </c>
      <c r="K155" s="2"/>
    </row>
    <row r="156" spans="1:11" x14ac:dyDescent="0.2">
      <c r="A156" s="2">
        <v>7.7</v>
      </c>
      <c r="B156" s="2">
        <v>176.8</v>
      </c>
      <c r="C156" s="2">
        <v>176.11</v>
      </c>
      <c r="D156" s="2">
        <v>175.49</v>
      </c>
      <c r="E156" s="2">
        <v>174.8</v>
      </c>
      <c r="K156" s="2"/>
    </row>
    <row r="157" spans="1:11" x14ac:dyDescent="0.2">
      <c r="A157" s="2">
        <v>7.75</v>
      </c>
      <c r="B157" s="2">
        <v>178.02</v>
      </c>
      <c r="C157" s="2">
        <v>177.33</v>
      </c>
      <c r="D157" s="2">
        <v>176.67</v>
      </c>
      <c r="E157" s="2">
        <v>176.04</v>
      </c>
      <c r="K157" s="2"/>
    </row>
    <row r="158" spans="1:11" x14ac:dyDescent="0.2">
      <c r="A158" s="2">
        <v>7.8</v>
      </c>
      <c r="B158" s="2">
        <v>179.24</v>
      </c>
      <c r="C158" s="2">
        <v>178.6</v>
      </c>
      <c r="D158" s="2">
        <v>177.89</v>
      </c>
      <c r="E158" s="2">
        <v>177.26</v>
      </c>
    </row>
    <row r="159" spans="1:11" x14ac:dyDescent="0.2">
      <c r="A159" s="2">
        <v>7.85</v>
      </c>
      <c r="B159" s="2">
        <v>180.46</v>
      </c>
      <c r="C159" s="2">
        <v>179.82</v>
      </c>
      <c r="D159" s="2">
        <v>179.11</v>
      </c>
      <c r="E159" s="2">
        <v>178.48</v>
      </c>
    </row>
    <row r="160" spans="1:11" x14ac:dyDescent="0.2">
      <c r="A160" s="2">
        <v>7.9</v>
      </c>
      <c r="B160" s="2">
        <v>181.68</v>
      </c>
      <c r="C160" s="2">
        <v>181.04</v>
      </c>
      <c r="D160" s="2">
        <v>180.33</v>
      </c>
      <c r="E160" s="2">
        <v>179.7</v>
      </c>
    </row>
    <row r="161" spans="1:11" x14ac:dyDescent="0.2">
      <c r="A161" s="2">
        <v>7.95</v>
      </c>
      <c r="B161" s="2">
        <v>182.9</v>
      </c>
      <c r="C161" s="2">
        <v>182.26</v>
      </c>
      <c r="D161" s="2">
        <v>181.55</v>
      </c>
      <c r="E161" s="2">
        <v>180.92</v>
      </c>
      <c r="K161" s="2"/>
    </row>
    <row r="162" spans="1:11" x14ac:dyDescent="0.2">
      <c r="A162" s="2">
        <v>8</v>
      </c>
      <c r="B162" s="2">
        <v>184.12</v>
      </c>
      <c r="C162" s="2">
        <v>183.48</v>
      </c>
      <c r="D162" s="2">
        <v>182.79</v>
      </c>
      <c r="E162" s="2">
        <v>182.13</v>
      </c>
      <c r="K162" s="2"/>
    </row>
    <row r="163" spans="1:11" x14ac:dyDescent="0.2">
      <c r="A163" s="2">
        <v>8.0500000000000007</v>
      </c>
      <c r="B163" s="2">
        <v>185.34</v>
      </c>
      <c r="C163" s="2">
        <v>184.68</v>
      </c>
      <c r="D163" s="2">
        <v>184.01</v>
      </c>
      <c r="E163" s="2">
        <v>183.35</v>
      </c>
      <c r="K163" s="2"/>
    </row>
    <row r="164" spans="1:11" x14ac:dyDescent="0.2">
      <c r="A164" s="2">
        <v>8.1</v>
      </c>
      <c r="B164" s="2">
        <v>186.56</v>
      </c>
      <c r="C164" s="2">
        <v>185.9</v>
      </c>
      <c r="D164" s="2">
        <v>185.23</v>
      </c>
      <c r="E164" s="2">
        <v>184.57</v>
      </c>
    </row>
    <row r="165" spans="1:11" x14ac:dyDescent="0.2">
      <c r="A165" s="2">
        <v>8.15</v>
      </c>
      <c r="B165" s="2">
        <v>187.78</v>
      </c>
      <c r="C165" s="2">
        <v>187.12</v>
      </c>
      <c r="D165" s="2">
        <v>186.45</v>
      </c>
      <c r="E165" s="2">
        <v>185.79</v>
      </c>
    </row>
    <row r="166" spans="1:11" x14ac:dyDescent="0.2">
      <c r="A166" s="2">
        <v>8.1999999999999993</v>
      </c>
      <c r="B166" s="2">
        <v>189</v>
      </c>
      <c r="C166" s="2">
        <v>188.34</v>
      </c>
      <c r="D166" s="2">
        <v>187.68</v>
      </c>
      <c r="E166" s="2">
        <v>187.01</v>
      </c>
    </row>
    <row r="167" spans="1:11" x14ac:dyDescent="0.2">
      <c r="A167" s="2">
        <v>8.25</v>
      </c>
      <c r="B167" s="2">
        <v>190.22</v>
      </c>
      <c r="C167" s="2">
        <v>189.56</v>
      </c>
      <c r="D167" s="2">
        <v>188.9</v>
      </c>
      <c r="E167" s="2">
        <v>188.23</v>
      </c>
    </row>
    <row r="168" spans="1:11" x14ac:dyDescent="0.2">
      <c r="A168" s="2">
        <v>8.3000000000000007</v>
      </c>
      <c r="B168" s="2">
        <v>191.44</v>
      </c>
      <c r="C168" s="2">
        <v>190.78</v>
      </c>
      <c r="D168" s="2">
        <v>190.12</v>
      </c>
      <c r="E168" s="2">
        <v>189.45</v>
      </c>
    </row>
    <row r="169" spans="1:11" x14ac:dyDescent="0.2">
      <c r="A169" s="2">
        <v>8.35</v>
      </c>
      <c r="B169" s="2">
        <v>192.66</v>
      </c>
      <c r="C169" s="2">
        <v>192</v>
      </c>
      <c r="D169" s="2">
        <v>191.34</v>
      </c>
      <c r="E169" s="2">
        <v>190.67</v>
      </c>
    </row>
    <row r="170" spans="1:11" x14ac:dyDescent="0.2">
      <c r="A170" s="2">
        <v>8.4</v>
      </c>
      <c r="B170" s="2">
        <v>193.88</v>
      </c>
      <c r="C170" s="2">
        <v>193.22</v>
      </c>
      <c r="D170" s="2">
        <v>192.56</v>
      </c>
      <c r="E170" s="2">
        <v>191.89</v>
      </c>
    </row>
    <row r="171" spans="1:11" x14ac:dyDescent="0.2">
      <c r="A171" s="2">
        <v>8.4499999999999993</v>
      </c>
      <c r="B171" s="2">
        <v>195.1</v>
      </c>
      <c r="C171" s="2">
        <v>194.44</v>
      </c>
      <c r="D171" s="2">
        <v>193.78</v>
      </c>
      <c r="E171" s="2">
        <v>193.11</v>
      </c>
    </row>
    <row r="172" spans="1:11" x14ac:dyDescent="0.2">
      <c r="A172" s="2">
        <v>8.5</v>
      </c>
      <c r="B172" s="2">
        <v>196.32</v>
      </c>
      <c r="C172" s="2">
        <v>195.66</v>
      </c>
      <c r="D172" s="2">
        <v>195.02</v>
      </c>
      <c r="E172" s="2">
        <v>194.32</v>
      </c>
    </row>
    <row r="173" spans="1:11" x14ac:dyDescent="0.2">
      <c r="A173" s="2">
        <v>8.5500000000000007</v>
      </c>
      <c r="B173" s="2">
        <v>197.54</v>
      </c>
      <c r="C173" s="2">
        <v>196.85</v>
      </c>
      <c r="D173" s="2">
        <v>196.24</v>
      </c>
      <c r="E173" s="2">
        <v>195.54</v>
      </c>
    </row>
    <row r="174" spans="1:11" x14ac:dyDescent="0.2">
      <c r="A174" s="2">
        <v>8.6</v>
      </c>
      <c r="B174" s="2">
        <v>198.76</v>
      </c>
      <c r="C174" s="2">
        <v>198.07</v>
      </c>
      <c r="D174" s="2">
        <v>197.46</v>
      </c>
      <c r="E174" s="2">
        <v>196.77</v>
      </c>
    </row>
    <row r="175" spans="1:11" x14ac:dyDescent="0.2">
      <c r="A175" s="2">
        <v>8.65</v>
      </c>
      <c r="B175" s="2">
        <v>199.98</v>
      </c>
      <c r="C175" s="2">
        <v>199.29</v>
      </c>
      <c r="D175" s="2">
        <v>198.68</v>
      </c>
      <c r="E175" s="2">
        <v>197.99</v>
      </c>
    </row>
    <row r="176" spans="1:11" x14ac:dyDescent="0.2">
      <c r="A176" s="2">
        <v>8.6999999999999993</v>
      </c>
      <c r="B176" s="2">
        <v>201.2</v>
      </c>
      <c r="C176" s="2">
        <v>200.51</v>
      </c>
      <c r="D176" s="2">
        <v>199.9</v>
      </c>
      <c r="E176" s="2">
        <v>199.21</v>
      </c>
    </row>
    <row r="177" spans="1:5" x14ac:dyDescent="0.2">
      <c r="A177" s="2">
        <v>8.75</v>
      </c>
      <c r="B177" s="2">
        <v>202.42</v>
      </c>
      <c r="C177" s="2">
        <v>201.73</v>
      </c>
      <c r="D177" s="2">
        <v>201.07</v>
      </c>
      <c r="E177" s="2">
        <v>200.44</v>
      </c>
    </row>
    <row r="178" spans="1:5" x14ac:dyDescent="0.2">
      <c r="A178" s="2">
        <v>8.8000000000000007</v>
      </c>
      <c r="B178" s="2">
        <v>203.64</v>
      </c>
      <c r="C178" s="3">
        <v>203.01</v>
      </c>
      <c r="D178" s="2">
        <v>202.29</v>
      </c>
      <c r="E178" s="2">
        <v>201.66</v>
      </c>
    </row>
    <row r="179" spans="1:5" x14ac:dyDescent="0.2">
      <c r="A179" s="2">
        <v>8.85</v>
      </c>
      <c r="B179" s="2">
        <v>204.86</v>
      </c>
      <c r="C179" s="2">
        <v>204.23</v>
      </c>
      <c r="D179" s="2">
        <v>203.52</v>
      </c>
      <c r="E179" s="2">
        <v>202.88</v>
      </c>
    </row>
    <row r="180" spans="1:5" x14ac:dyDescent="0.2">
      <c r="A180" s="2">
        <v>8.9</v>
      </c>
      <c r="B180" s="2">
        <v>206.08</v>
      </c>
      <c r="C180" s="2">
        <v>205.45</v>
      </c>
      <c r="D180" s="2">
        <v>204.74</v>
      </c>
      <c r="E180" s="2">
        <v>204.1</v>
      </c>
    </row>
    <row r="181" spans="1:5" x14ac:dyDescent="0.2">
      <c r="A181" s="2">
        <v>8.9499999999999993</v>
      </c>
      <c r="B181" s="2">
        <v>207.3</v>
      </c>
      <c r="C181" s="2">
        <v>206.67</v>
      </c>
      <c r="D181" s="2">
        <v>205.96</v>
      </c>
      <c r="E181" s="2">
        <v>205.32</v>
      </c>
    </row>
    <row r="182" spans="1:5" x14ac:dyDescent="0.2">
      <c r="A182" s="2">
        <v>9</v>
      </c>
      <c r="B182" s="2">
        <v>208.52</v>
      </c>
      <c r="C182" s="2">
        <v>207.89</v>
      </c>
      <c r="D182" s="2">
        <v>207.2</v>
      </c>
      <c r="E182" s="2">
        <v>206.53</v>
      </c>
    </row>
    <row r="183" spans="1:5" x14ac:dyDescent="0.2">
      <c r="A183" s="2">
        <v>9.0500000000000007</v>
      </c>
      <c r="B183" s="2">
        <v>209.74</v>
      </c>
      <c r="C183" s="2">
        <v>209.08</v>
      </c>
      <c r="D183" s="2">
        <v>208.42</v>
      </c>
      <c r="E183" s="2">
        <v>207.75</v>
      </c>
    </row>
    <row r="184" spans="1:5" x14ac:dyDescent="0.2">
      <c r="A184" s="2">
        <v>9.1</v>
      </c>
      <c r="B184" s="2">
        <v>210.96</v>
      </c>
      <c r="C184" s="2">
        <v>210.3</v>
      </c>
      <c r="D184" s="2">
        <v>209.64</v>
      </c>
      <c r="E184" s="2">
        <v>208.97</v>
      </c>
    </row>
    <row r="185" spans="1:5" x14ac:dyDescent="0.2">
      <c r="A185" s="2">
        <v>9.15</v>
      </c>
      <c r="B185" s="2">
        <v>212.18</v>
      </c>
      <c r="C185" s="2">
        <v>211.52</v>
      </c>
      <c r="D185" s="2">
        <v>210.86</v>
      </c>
      <c r="E185" s="2">
        <v>210.2</v>
      </c>
    </row>
    <row r="186" spans="1:5" x14ac:dyDescent="0.2">
      <c r="A186" s="2">
        <v>9.1999999999999993</v>
      </c>
      <c r="B186" s="2">
        <v>213.4</v>
      </c>
      <c r="C186" s="2">
        <v>212.74</v>
      </c>
      <c r="D186" s="2">
        <v>212.08</v>
      </c>
      <c r="E186" s="2">
        <v>211.42</v>
      </c>
    </row>
    <row r="187" spans="1:5" x14ac:dyDescent="0.2">
      <c r="A187" s="2">
        <v>9.25</v>
      </c>
      <c r="B187" s="2">
        <v>214.62</v>
      </c>
      <c r="C187" s="2">
        <v>213.96</v>
      </c>
      <c r="D187" s="2">
        <v>213.3</v>
      </c>
      <c r="E187" s="2">
        <v>212.64</v>
      </c>
    </row>
    <row r="188" spans="1:5" x14ac:dyDescent="0.2">
      <c r="A188" s="2">
        <v>9.3000000000000007</v>
      </c>
      <c r="B188" s="2">
        <v>215.85</v>
      </c>
      <c r="C188" s="2">
        <v>215.18</v>
      </c>
      <c r="D188" s="2">
        <v>214.52</v>
      </c>
      <c r="E188" s="2">
        <v>213.86</v>
      </c>
    </row>
    <row r="189" spans="1:5" x14ac:dyDescent="0.2">
      <c r="A189" s="2">
        <v>9.35</v>
      </c>
      <c r="B189" s="2">
        <v>217.07</v>
      </c>
      <c r="C189" s="2">
        <v>216.4</v>
      </c>
      <c r="D189" s="2">
        <v>215.74</v>
      </c>
      <c r="E189" s="2">
        <v>215.08</v>
      </c>
    </row>
    <row r="190" spans="1:5" x14ac:dyDescent="0.2">
      <c r="A190" s="2">
        <v>9.4</v>
      </c>
      <c r="B190" s="2">
        <v>218.29</v>
      </c>
      <c r="C190" s="2">
        <v>217.62</v>
      </c>
      <c r="D190" s="2">
        <v>216.96</v>
      </c>
      <c r="E190" s="2">
        <v>216.3</v>
      </c>
    </row>
    <row r="191" spans="1:5" x14ac:dyDescent="0.2">
      <c r="A191" s="2">
        <v>9.4499999999999993</v>
      </c>
      <c r="B191" s="2">
        <v>219.51</v>
      </c>
      <c r="C191" s="2">
        <v>218.84</v>
      </c>
      <c r="D191" s="2">
        <v>218.18</v>
      </c>
      <c r="E191" s="2">
        <v>217.52</v>
      </c>
    </row>
    <row r="192" spans="1:5" x14ac:dyDescent="0.2">
      <c r="A192" s="2">
        <v>9.5</v>
      </c>
      <c r="B192" s="2">
        <v>220.73</v>
      </c>
      <c r="C192" s="2">
        <v>220.06</v>
      </c>
      <c r="D192" s="2">
        <v>219.42</v>
      </c>
      <c r="E192" s="2">
        <v>218.73</v>
      </c>
    </row>
    <row r="193" spans="1:5" x14ac:dyDescent="0.2">
      <c r="A193" s="2">
        <v>9.5500000000000007</v>
      </c>
      <c r="B193" s="2">
        <v>221.95</v>
      </c>
      <c r="C193" s="2">
        <v>221.25</v>
      </c>
      <c r="D193" s="2">
        <v>220.64</v>
      </c>
      <c r="E193" s="2">
        <v>219.95</v>
      </c>
    </row>
    <row r="194" spans="1:5" x14ac:dyDescent="0.2">
      <c r="A194" s="2">
        <v>9.6</v>
      </c>
      <c r="B194" s="2">
        <v>223.17</v>
      </c>
      <c r="C194" s="2">
        <v>222.47</v>
      </c>
      <c r="D194" s="2">
        <v>221.86</v>
      </c>
      <c r="E194" s="2">
        <v>221.17</v>
      </c>
    </row>
    <row r="195" spans="1:5" x14ac:dyDescent="0.2">
      <c r="A195" s="2">
        <v>9.65</v>
      </c>
      <c r="B195" s="2">
        <v>224.39</v>
      </c>
      <c r="C195" s="2">
        <v>223.69</v>
      </c>
      <c r="D195" s="2">
        <v>223.08</v>
      </c>
      <c r="E195" s="2">
        <v>222.39</v>
      </c>
    </row>
    <row r="196" spans="1:5" x14ac:dyDescent="0.2">
      <c r="A196" s="2">
        <v>9.6999999999999993</v>
      </c>
      <c r="B196" s="2">
        <v>225.61</v>
      </c>
      <c r="C196" s="2">
        <v>224.91</v>
      </c>
      <c r="D196" s="2">
        <v>224.3</v>
      </c>
      <c r="E196" s="2">
        <v>223.61</v>
      </c>
    </row>
    <row r="197" spans="1:5" x14ac:dyDescent="0.2">
      <c r="A197" s="2">
        <v>9.75</v>
      </c>
      <c r="B197" s="2">
        <v>226.83</v>
      </c>
      <c r="C197" s="2">
        <v>226.13</v>
      </c>
      <c r="D197" s="2">
        <v>225.44</v>
      </c>
      <c r="E197" s="2">
        <v>224.86</v>
      </c>
    </row>
    <row r="198" spans="1:5" x14ac:dyDescent="0.2">
      <c r="A198" s="2">
        <v>9.8000000000000007</v>
      </c>
      <c r="B198" s="2">
        <v>228.05</v>
      </c>
      <c r="C198" s="2">
        <v>227.47</v>
      </c>
      <c r="D198" s="2">
        <v>226.66</v>
      </c>
      <c r="E198" s="2">
        <v>226.08</v>
      </c>
    </row>
    <row r="199" spans="1:5" x14ac:dyDescent="0.2">
      <c r="A199" s="2">
        <v>9.85</v>
      </c>
      <c r="B199" s="2">
        <v>229.27</v>
      </c>
      <c r="C199" s="2">
        <v>228.69</v>
      </c>
      <c r="D199" s="2">
        <v>227.99</v>
      </c>
      <c r="E199" s="2">
        <v>227.17</v>
      </c>
    </row>
    <row r="200" spans="1:5" x14ac:dyDescent="0.2">
      <c r="A200" s="2">
        <v>9.9</v>
      </c>
      <c r="B200" s="2">
        <v>230.21</v>
      </c>
      <c r="C200" s="2">
        <v>229.58</v>
      </c>
      <c r="D200" s="2">
        <v>229.11</v>
      </c>
      <c r="E200" s="2">
        <v>228.28</v>
      </c>
    </row>
    <row r="201" spans="1:5" x14ac:dyDescent="0.2">
      <c r="A201" s="2">
        <v>9.9499999999999993</v>
      </c>
      <c r="B201" s="2">
        <v>230.82</v>
      </c>
      <c r="C201" s="2">
        <v>230.45</v>
      </c>
      <c r="D201" s="2">
        <v>229.88</v>
      </c>
      <c r="E201" s="2">
        <v>229.3</v>
      </c>
    </row>
    <row r="202" spans="1:5" x14ac:dyDescent="0.2">
      <c r="A202" s="2">
        <v>10</v>
      </c>
      <c r="B202" s="2">
        <v>230.84</v>
      </c>
      <c r="C202" s="2">
        <v>230.77</v>
      </c>
      <c r="D202" s="2">
        <v>230.52</v>
      </c>
      <c r="E202" s="2">
        <v>229.96</v>
      </c>
    </row>
    <row r="203" spans="1:5" x14ac:dyDescent="0.2">
      <c r="A203" s="2">
        <v>10.050000000000001</v>
      </c>
      <c r="B203" s="2">
        <v>230.84</v>
      </c>
      <c r="C203" s="2">
        <v>230.84</v>
      </c>
      <c r="D203" s="2">
        <v>230.73</v>
      </c>
      <c r="E203" s="2">
        <v>230.45</v>
      </c>
    </row>
    <row r="204" spans="1:5" x14ac:dyDescent="0.2">
      <c r="A204" s="2">
        <v>10.1</v>
      </c>
      <c r="B204" s="2">
        <v>230.84</v>
      </c>
      <c r="C204" s="2">
        <v>230.84</v>
      </c>
      <c r="D204" s="2">
        <v>2230.8200000000002</v>
      </c>
      <c r="E204" s="2">
        <v>230.65</v>
      </c>
    </row>
    <row r="205" spans="1:5" x14ac:dyDescent="0.2">
      <c r="A205" s="2">
        <v>10.15</v>
      </c>
      <c r="B205" s="2">
        <v>230.84</v>
      </c>
      <c r="C205" s="2">
        <v>230.84</v>
      </c>
      <c r="D205" s="2">
        <v>230.84</v>
      </c>
      <c r="E205" s="2">
        <v>230.78</v>
      </c>
    </row>
    <row r="206" spans="1:5" x14ac:dyDescent="0.2">
      <c r="A206" s="2">
        <v>10.199999999999999</v>
      </c>
      <c r="B206" s="2">
        <v>230.84</v>
      </c>
      <c r="C206" s="2">
        <v>230.84</v>
      </c>
      <c r="D206" s="2">
        <v>230.84</v>
      </c>
      <c r="E206" s="2">
        <v>230.84</v>
      </c>
    </row>
    <row r="207" spans="1:5" x14ac:dyDescent="0.2">
      <c r="A207" s="2">
        <v>10.25</v>
      </c>
      <c r="B207" s="2">
        <v>230.84</v>
      </c>
      <c r="C207" s="2">
        <v>230.84</v>
      </c>
      <c r="D207" s="2">
        <v>230.84</v>
      </c>
      <c r="E207" s="2">
        <v>230.84</v>
      </c>
    </row>
    <row r="208" spans="1:5" x14ac:dyDescent="0.2">
      <c r="A208" s="2">
        <v>10.3</v>
      </c>
      <c r="B208" s="2">
        <v>230.84</v>
      </c>
      <c r="C208" s="2">
        <v>230.84</v>
      </c>
      <c r="D208" s="2">
        <v>230.84</v>
      </c>
      <c r="E208" s="2">
        <v>230.84</v>
      </c>
    </row>
  </sheetData>
  <sheetProtection sheet="1" objects="1" scenarios="1"/>
  <conditionalFormatting sqref="A1:A65536">
    <cfRule type="expression" dxfId="11" priority="3" stopIfTrue="1">
      <formula>IF(OR($A1=$L$4,$A1=$L$6),TRUE,FALSE)</formula>
    </cfRule>
  </conditionalFormatting>
  <conditionalFormatting sqref="B1:E1">
    <cfRule type="expression" dxfId="10" priority="2" stopIfTrue="1">
      <formula>IF(OR(B$1=$M$3,B$1=$O$3),TRUE,FALSE)</formula>
    </cfRule>
  </conditionalFormatting>
  <conditionalFormatting sqref="B2:F208">
    <cfRule type="expression" dxfId="9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7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2">
        <v>0.24</v>
      </c>
      <c r="C2" s="2">
        <v>0.1</v>
      </c>
      <c r="D2" s="2">
        <v>0.18</v>
      </c>
      <c r="E2" s="2">
        <v>0.25</v>
      </c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2">
        <v>0.56000000000000005</v>
      </c>
      <c r="C3" s="2">
        <v>0.49</v>
      </c>
      <c r="D3" s="2">
        <v>0.5</v>
      </c>
      <c r="E3" s="2">
        <v>0.48</v>
      </c>
      <c r="J3" s="6">
        <v>10.298</v>
      </c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2">
        <v>1.04</v>
      </c>
      <c r="C4" s="2">
        <v>0.89</v>
      </c>
      <c r="D4" s="2">
        <v>0.81</v>
      </c>
      <c r="E4" s="2">
        <v>0.71</v>
      </c>
      <c r="K4" s="2"/>
      <c r="L4" s="2">
        <f>IF(O8=0.05,L5,L5-O8)</f>
        <v>2.65</v>
      </c>
      <c r="M4" s="2">
        <f>VLOOKUP(ROUNDDOWN(L4,2),A:F,MATCH(M3,B1:F1,0)+1,FALSE)</f>
        <v>52.31</v>
      </c>
      <c r="N4" s="2">
        <f>IF(($O$3-$M$3)&gt;0,M4+(($N$3-$M$3)*(O4-M4)/($O$3-$M$3)),M4)</f>
        <v>51.975000000000001</v>
      </c>
      <c r="O4" s="2">
        <f>VLOOKUP(ROUNDDOWN($L$4,2),A:F,MATCH(O$3,B1:F1,0)+1,FALSE)</f>
        <v>51.64</v>
      </c>
    </row>
    <row r="5" spans="1:16" x14ac:dyDescent="0.2">
      <c r="A5" s="2">
        <v>0.15</v>
      </c>
      <c r="B5" s="2">
        <v>1.51</v>
      </c>
      <c r="C5" s="2">
        <v>1.3</v>
      </c>
      <c r="D5" s="2">
        <v>1.1200000000000001</v>
      </c>
      <c r="E5" s="2">
        <v>0.94</v>
      </c>
      <c r="K5" s="2"/>
      <c r="L5" s="6">
        <f>ROUND(J3-Before!E16,3)</f>
        <v>2.698</v>
      </c>
      <c r="M5" s="1" t="s">
        <v>1</v>
      </c>
      <c r="N5" s="2">
        <f>IF(($L$6-$L$4)&gt;0,N4+(($L$5-$L$4)*(N6-N4)/0.05),N4)</f>
        <v>53.1462</v>
      </c>
      <c r="O5" s="1" t="s">
        <v>2</v>
      </c>
    </row>
    <row r="6" spans="1:16" x14ac:dyDescent="0.2">
      <c r="A6" s="2">
        <v>0.2</v>
      </c>
      <c r="B6" s="2">
        <v>1.99</v>
      </c>
      <c r="C6" s="2">
        <v>1.7</v>
      </c>
      <c r="D6" s="2">
        <v>1.43</v>
      </c>
      <c r="E6" s="2">
        <v>1.1599999999999999</v>
      </c>
      <c r="K6" s="2"/>
      <c r="L6" s="2">
        <f>IF(OR(O8=0.05,O8=0),L5,L5+(0.05-O8))</f>
        <v>2.6999999999999997</v>
      </c>
      <c r="M6" s="2">
        <f>VLOOKUP(ROUND($L6,2),A:F,MATCH($M$3,B1:F1,0)+1,FALSE)</f>
        <v>53.53</v>
      </c>
      <c r="N6" s="2">
        <f>IF(($O$3-$M$3)&gt;0,M6+(($N$3-$M$3)*(O6-M6)/($O$3-$M$3)),M6)</f>
        <v>53.195</v>
      </c>
      <c r="O6" s="2">
        <f>VLOOKUP(ROUNDDOWN($L$6,2),A:F,MATCH($O$3,B1:F1,0)+1,FALSE)</f>
        <v>52.86</v>
      </c>
    </row>
    <row r="7" spans="1:16" x14ac:dyDescent="0.2">
      <c r="A7" s="2">
        <v>0.25</v>
      </c>
      <c r="B7" s="2">
        <v>2.4700000000000002</v>
      </c>
      <c r="C7" s="2">
        <v>2.1</v>
      </c>
      <c r="D7" s="2">
        <v>1.87</v>
      </c>
      <c r="E7" s="2">
        <v>1.7</v>
      </c>
      <c r="K7" s="2"/>
      <c r="L7" s="2"/>
      <c r="M7" s="2"/>
      <c r="N7" s="2"/>
    </row>
    <row r="8" spans="1:16" x14ac:dyDescent="0.2">
      <c r="A8" s="2">
        <v>0.3</v>
      </c>
      <c r="B8" s="2">
        <v>3.07</v>
      </c>
      <c r="C8" s="2">
        <v>2.77</v>
      </c>
      <c r="D8" s="2">
        <v>2.5099999999999998</v>
      </c>
      <c r="E8" s="2">
        <v>2.2799999999999998</v>
      </c>
      <c r="K8" s="2"/>
      <c r="L8" s="2"/>
      <c r="M8" s="6">
        <f>(L5-INT(L5))*10</f>
        <v>6.9799999999999995</v>
      </c>
      <c r="N8" s="6">
        <f>ROUND((M8-INT(M8))*10,5)</f>
        <v>9.8000000000000007</v>
      </c>
      <c r="O8" s="6">
        <f>IF(N8&gt;5,(N8-5)/100,N8/100)</f>
        <v>4.8000000000000008E-2</v>
      </c>
    </row>
    <row r="9" spans="1:16" x14ac:dyDescent="0.2">
      <c r="A9" s="2">
        <v>0.35</v>
      </c>
      <c r="B9" s="2">
        <v>3.78</v>
      </c>
      <c r="C9" s="2">
        <v>3.45</v>
      </c>
      <c r="D9" s="2">
        <v>3.14</v>
      </c>
      <c r="E9" s="2">
        <v>2.85</v>
      </c>
      <c r="I9" s="3"/>
      <c r="K9" s="2"/>
      <c r="L9" s="2"/>
    </row>
    <row r="10" spans="1:16" x14ac:dyDescent="0.2">
      <c r="A10" s="2">
        <v>0.4</v>
      </c>
      <c r="B10" s="2">
        <v>4.5</v>
      </c>
      <c r="C10" s="2">
        <v>4.12</v>
      </c>
      <c r="D10" s="2">
        <v>3.77</v>
      </c>
      <c r="E10" s="2">
        <v>3.43</v>
      </c>
      <c r="K10" s="2"/>
      <c r="L10" s="2"/>
      <c r="N10" s="2"/>
    </row>
    <row r="11" spans="1:16" ht="15" x14ac:dyDescent="0.25">
      <c r="A11" s="2">
        <v>0.45</v>
      </c>
      <c r="B11" s="2">
        <v>5.22</v>
      </c>
      <c r="C11" s="2">
        <v>4.8</v>
      </c>
      <c r="D11" s="2">
        <v>4.4000000000000004</v>
      </c>
      <c r="E11" s="2">
        <v>4.01</v>
      </c>
      <c r="K11" s="2"/>
      <c r="L11" s="219"/>
      <c r="M11" s="219">
        <v>0</v>
      </c>
      <c r="N11" s="219">
        <v>1</v>
      </c>
      <c r="O11" s="220">
        <v>2</v>
      </c>
      <c r="P11" s="4">
        <v>3</v>
      </c>
    </row>
    <row r="12" spans="1:16" ht="15" x14ac:dyDescent="0.25">
      <c r="A12" s="2">
        <v>0.5</v>
      </c>
      <c r="B12" s="2">
        <v>5.93</v>
      </c>
      <c r="C12" s="2">
        <v>5.48</v>
      </c>
      <c r="D12" s="2">
        <v>5.1100000000000003</v>
      </c>
      <c r="E12" s="2">
        <v>4.7699999999999996</v>
      </c>
      <c r="K12" s="2"/>
      <c r="L12" s="219"/>
      <c r="M12" s="219">
        <f>LOOKUP(N15,B:B,A:A)</f>
        <v>8</v>
      </c>
      <c r="N12" s="219">
        <f>LOOKUP($N$15,C:C,$A:$A)</f>
        <v>8.0500000000000007</v>
      </c>
      <c r="O12" s="219">
        <f>LOOKUP($N$15,D:D,$A:$A)</f>
        <v>8.0500000000000007</v>
      </c>
      <c r="P12" s="219">
        <f>LOOKUP($N$15,E:E,$A:$A)</f>
        <v>8.1</v>
      </c>
    </row>
    <row r="13" spans="1:16" ht="15" x14ac:dyDescent="0.25">
      <c r="A13" s="2">
        <v>0.55000000000000004</v>
      </c>
      <c r="B13" s="2">
        <v>6.73</v>
      </c>
      <c r="C13" s="2">
        <v>6.32</v>
      </c>
      <c r="D13" s="2">
        <v>5.93</v>
      </c>
      <c r="E13" s="2">
        <v>5.55</v>
      </c>
      <c r="K13" s="2"/>
      <c r="L13" s="219"/>
      <c r="M13" s="219">
        <f>INT(N13)</f>
        <v>2</v>
      </c>
      <c r="N13" s="219">
        <f>Before!O8</f>
        <v>2</v>
      </c>
      <c r="O13" s="219">
        <f>IF(M13=N13,N13,M13+1)</f>
        <v>2</v>
      </c>
    </row>
    <row r="14" spans="1:16" ht="15" x14ac:dyDescent="0.25">
      <c r="A14" s="2">
        <v>0.6</v>
      </c>
      <c r="B14" s="2">
        <v>7.6</v>
      </c>
      <c r="C14" s="2">
        <v>7.16</v>
      </c>
      <c r="D14" s="2">
        <v>6.74</v>
      </c>
      <c r="E14" s="2">
        <v>6.33</v>
      </c>
      <c r="K14" s="2"/>
      <c r="L14">
        <f>HLOOKUP(M$13,$M$11:$P$12,2,FALSE)</f>
        <v>8.0500000000000007</v>
      </c>
      <c r="M14" s="219">
        <f>VLOOKUP(ROUNDDOWN(L14,2),A:F,MATCH(M13,B1:F1,0)+1,FALSE)</f>
        <v>184.09</v>
      </c>
      <c r="N14" s="219">
        <f>IF(($O$13-$M$13)&gt;0,M14+(($N$13-$M$13)*(O14-M14)/($O$13-$M$13)),M14)</f>
        <v>184.09</v>
      </c>
      <c r="O14" s="219">
        <f>VLOOKUP(ROUNDDOWN(L14,2),A:F,MATCH(O$13,B1:F1,0)+1,FALSE)</f>
        <v>184.09</v>
      </c>
    </row>
    <row r="15" spans="1:16" ht="15" x14ac:dyDescent="0.25">
      <c r="A15" s="2">
        <v>0.65</v>
      </c>
      <c r="B15" s="2">
        <v>8.4700000000000006</v>
      </c>
      <c r="C15" s="2">
        <v>8</v>
      </c>
      <c r="D15" s="2">
        <v>7.55</v>
      </c>
      <c r="E15" s="2">
        <v>7.11</v>
      </c>
      <c r="H15" s="8"/>
      <c r="K15" s="6">
        <f>J3-L15</f>
        <v>2.21442404558608</v>
      </c>
      <c r="L15" s="221">
        <f>L14+((N15-N14)*ABS(L16-L14))/(N16-N14)</f>
        <v>8.0835759544139201</v>
      </c>
      <c r="M15" s="222" t="s">
        <v>97</v>
      </c>
      <c r="N15" s="219">
        <f>Before!M16</f>
        <v>184.90925328769964</v>
      </c>
      <c r="O15" s="222" t="s">
        <v>98</v>
      </c>
    </row>
    <row r="16" spans="1:16" ht="15" x14ac:dyDescent="0.25">
      <c r="A16" s="2">
        <v>0.7</v>
      </c>
      <c r="B16" s="2">
        <v>9.34</v>
      </c>
      <c r="C16" s="2">
        <v>8.85</v>
      </c>
      <c r="D16" s="2">
        <v>8.3699999999999992</v>
      </c>
      <c r="E16" s="2">
        <v>7.89</v>
      </c>
      <c r="L16" s="219">
        <f>IF(N15&gt;M14,L14+0.05,L14-0.05)</f>
        <v>8.1000000000000014</v>
      </c>
      <c r="M16" s="219">
        <f>VLOOKUP(ROUNDDOWN(L16,2),A:F,MATCH(M13,B1:F1,0)+1,FALSE)</f>
        <v>185.31</v>
      </c>
      <c r="N16" s="219">
        <f>IF(($O$13-$M$13)&gt;0,M16+(($N$13-$M$13)*(O16-M16)/($O$13-$M$13)),M16)</f>
        <v>185.31</v>
      </c>
      <c r="O16" s="219">
        <f>VLOOKUP(ROUNDDOWN(L16,2),A:F,MATCH(O$13,B1:F1,0)+1,FALSE)</f>
        <v>185.31</v>
      </c>
    </row>
    <row r="17" spans="1:15" x14ac:dyDescent="0.2">
      <c r="A17" s="2">
        <v>0.75</v>
      </c>
      <c r="B17" s="2">
        <v>10.220000000000001</v>
      </c>
      <c r="C17" s="2">
        <v>9.69</v>
      </c>
      <c r="D17" s="2">
        <v>9.24</v>
      </c>
      <c r="E17" s="2">
        <v>8.8000000000000007</v>
      </c>
    </row>
    <row r="18" spans="1:15" x14ac:dyDescent="0.2">
      <c r="A18" s="2">
        <v>0.8</v>
      </c>
      <c r="B18" s="2">
        <v>11.14</v>
      </c>
      <c r="C18" s="2">
        <v>10.65</v>
      </c>
      <c r="D18" s="2">
        <v>10.18</v>
      </c>
      <c r="E18" s="2">
        <v>9.7100000000000009</v>
      </c>
    </row>
    <row r="19" spans="1:15" x14ac:dyDescent="0.2">
      <c r="A19" s="2">
        <v>0.85</v>
      </c>
      <c r="B19" s="2">
        <v>12.12</v>
      </c>
      <c r="C19" s="2">
        <v>11.62</v>
      </c>
      <c r="D19" s="2">
        <v>11.12</v>
      </c>
      <c r="E19" s="2">
        <v>10.63</v>
      </c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2">
        <v>13.1</v>
      </c>
      <c r="C20" s="2">
        <v>12.58</v>
      </c>
      <c r="D20" s="2">
        <v>12.06</v>
      </c>
      <c r="E20" s="2">
        <v>11.55</v>
      </c>
      <c r="L20" s="2">
        <f>IF(O24=0.05,L21,L21-O24)</f>
        <v>7.85</v>
      </c>
      <c r="M20" s="2">
        <f>VLOOKUP(ROUNDDOWN(L20,2),A:F,MATCH(M19,B1:F1,0)+1,FALSE)</f>
        <v>179.19</v>
      </c>
      <c r="N20" s="2">
        <f>IF(($O$19-$M$19)&gt;0,M20+(($N$19-$M$19)*(O20-M20)/($O$19-$M$19)),M20)</f>
        <v>179.19</v>
      </c>
      <c r="O20" s="2">
        <f>VLOOKUP(ROUNDDOWN($L$20,2),A:F,MATCH(O$19,B1:F1,0)+1,FALSE)</f>
        <v>179.19</v>
      </c>
    </row>
    <row r="21" spans="1:15" x14ac:dyDescent="0.2">
      <c r="A21" s="2">
        <v>0.95</v>
      </c>
      <c r="B21" s="2">
        <v>14.08</v>
      </c>
      <c r="C21" s="2">
        <v>13.54</v>
      </c>
      <c r="D21" s="2">
        <v>13</v>
      </c>
      <c r="E21" s="2">
        <v>12.47</v>
      </c>
      <c r="L21" s="6">
        <f>ROUND(J3-After!L7,3)</f>
        <v>7.8979999999999997</v>
      </c>
      <c r="M21" s="1" t="s">
        <v>1</v>
      </c>
      <c r="N21" s="2">
        <f>IF(($L$22-$L$20)&gt;0,N20+(($L$21-$L$20)*(N22-N20)/0.05),N20)</f>
        <v>180.3612</v>
      </c>
      <c r="O21" s="1" t="s">
        <v>2</v>
      </c>
    </row>
    <row r="22" spans="1:15" x14ac:dyDescent="0.2">
      <c r="A22" s="2">
        <v>1</v>
      </c>
      <c r="B22" s="2">
        <v>15.06</v>
      </c>
      <c r="C22" s="2">
        <v>14.5</v>
      </c>
      <c r="D22" s="2">
        <v>13.98</v>
      </c>
      <c r="E22" s="2">
        <v>13.47</v>
      </c>
      <c r="L22" s="2">
        <f>IF(OR(O24=0.05,O24=0),L21,L21+(0.05-O24))</f>
        <v>7.8999999999999995</v>
      </c>
      <c r="M22" s="2">
        <f>VLOOKUP(ROUND($L22,2),A:F,MATCH($M$19,B1:F1,0)+1,FALSE)</f>
        <v>180.41</v>
      </c>
      <c r="N22" s="2">
        <f>IF(($O$19-$M$19)&gt;0,M22+(($N$19-$M$19)*(O22-M22)/($O$3-$M$19)),M22)</f>
        <v>180.41</v>
      </c>
      <c r="O22" s="2">
        <f>VLOOKUP(ROUNDDOWN($L$22,2),A:F,MATCH($O$19,B1:F1,0)+1,FALSE)</f>
        <v>180.41</v>
      </c>
    </row>
    <row r="23" spans="1:15" x14ac:dyDescent="0.2">
      <c r="A23" s="2">
        <v>1.05</v>
      </c>
      <c r="B23" s="2">
        <v>16.09</v>
      </c>
      <c r="C23" s="2">
        <v>15.54</v>
      </c>
      <c r="D23" s="2">
        <v>15.01</v>
      </c>
      <c r="E23" s="2">
        <v>14.48</v>
      </c>
      <c r="L23" s="2"/>
      <c r="M23" s="2"/>
      <c r="N23" s="2"/>
    </row>
    <row r="24" spans="1:15" x14ac:dyDescent="0.2">
      <c r="A24" s="2">
        <v>1.1000000000000001</v>
      </c>
      <c r="B24" s="2">
        <v>17.149999999999999</v>
      </c>
      <c r="C24" s="2">
        <v>16.59</v>
      </c>
      <c r="D24" s="2">
        <v>16.04</v>
      </c>
      <c r="E24" s="2">
        <v>15.5</v>
      </c>
      <c r="L24" s="2"/>
      <c r="M24" s="6">
        <f>(L21-INT(L21))*10</f>
        <v>8.9799999999999969</v>
      </c>
      <c r="N24" s="6">
        <f>ROUND((M24-INT(M24))*10,5)</f>
        <v>9.8000000000000007</v>
      </c>
      <c r="O24" s="6">
        <f>IF(N24&gt;5,(N24-5)/100,N24/100)</f>
        <v>4.8000000000000008E-2</v>
      </c>
    </row>
    <row r="25" spans="1:15" x14ac:dyDescent="0.2">
      <c r="A25" s="2">
        <v>1.1499999999999999</v>
      </c>
      <c r="B25" s="2">
        <v>18.22</v>
      </c>
      <c r="C25" s="2">
        <v>17.64</v>
      </c>
      <c r="D25" s="2">
        <v>17.07</v>
      </c>
      <c r="E25" s="2">
        <v>16.510000000000002</v>
      </c>
    </row>
    <row r="26" spans="1:15" x14ac:dyDescent="0.2">
      <c r="A26" s="2">
        <v>1.2</v>
      </c>
      <c r="B26" s="2">
        <v>19.28</v>
      </c>
      <c r="C26" s="2">
        <v>18.690000000000001</v>
      </c>
      <c r="D26" s="2">
        <v>18.100000000000001</v>
      </c>
      <c r="E26" s="2">
        <v>17.52</v>
      </c>
    </row>
    <row r="27" spans="1:15" x14ac:dyDescent="0.2">
      <c r="A27" s="2">
        <v>1.25</v>
      </c>
      <c r="B27" s="2">
        <v>20.34</v>
      </c>
      <c r="C27" s="2">
        <v>19.73</v>
      </c>
      <c r="D27" s="2">
        <v>19.170000000000002</v>
      </c>
      <c r="E27" s="2">
        <v>18.61</v>
      </c>
    </row>
    <row r="28" spans="1:15" x14ac:dyDescent="0.2">
      <c r="A28" s="2">
        <v>1.3</v>
      </c>
      <c r="B28" s="2">
        <v>21.44</v>
      </c>
      <c r="C28" s="2">
        <v>20.85</v>
      </c>
      <c r="D28" s="2">
        <v>20.27</v>
      </c>
      <c r="E28" s="2">
        <v>19.7</v>
      </c>
    </row>
    <row r="29" spans="1:15" x14ac:dyDescent="0.2">
      <c r="A29" s="2">
        <v>1.35</v>
      </c>
      <c r="B29" s="2">
        <v>22.57</v>
      </c>
      <c r="C29" s="2">
        <v>21.97</v>
      </c>
      <c r="D29" s="2">
        <v>21.38</v>
      </c>
      <c r="E29" s="2">
        <v>20.79</v>
      </c>
    </row>
    <row r="30" spans="1:15" x14ac:dyDescent="0.2">
      <c r="A30" s="2">
        <v>1.4</v>
      </c>
      <c r="B30" s="2">
        <v>23.7</v>
      </c>
      <c r="C30" s="2">
        <v>23.09</v>
      </c>
      <c r="D30" s="2">
        <v>22.49</v>
      </c>
      <c r="E30" s="2">
        <v>21.89</v>
      </c>
    </row>
    <row r="31" spans="1:15" x14ac:dyDescent="0.2">
      <c r="A31" s="2">
        <v>1.45</v>
      </c>
      <c r="B31" s="2">
        <v>24.83</v>
      </c>
      <c r="C31" s="2">
        <v>24.21</v>
      </c>
      <c r="D31" s="2">
        <v>23.6</v>
      </c>
      <c r="E31" s="2">
        <v>22.98</v>
      </c>
    </row>
    <row r="32" spans="1:15" x14ac:dyDescent="0.2">
      <c r="A32" s="2">
        <v>1.5</v>
      </c>
      <c r="B32" s="2">
        <v>25.96</v>
      </c>
      <c r="C32" s="2">
        <v>25.33</v>
      </c>
      <c r="D32" s="2">
        <v>24.73</v>
      </c>
      <c r="E32" s="2">
        <v>24.12</v>
      </c>
      <c r="K32" s="2"/>
      <c r="L32" s="2"/>
    </row>
    <row r="33" spans="1:12" x14ac:dyDescent="0.2">
      <c r="A33" s="2">
        <v>1.55</v>
      </c>
      <c r="B33" s="2">
        <v>27.12</v>
      </c>
      <c r="C33" s="2">
        <v>26.49</v>
      </c>
      <c r="D33" s="2">
        <v>25.88</v>
      </c>
      <c r="E33" s="2">
        <v>25.27</v>
      </c>
      <c r="K33" s="2"/>
      <c r="L33" s="2"/>
    </row>
    <row r="34" spans="1:12" x14ac:dyDescent="0.2">
      <c r="A34" s="2">
        <v>1.6</v>
      </c>
      <c r="B34" s="2">
        <v>28.29</v>
      </c>
      <c r="C34" s="2">
        <v>27.66</v>
      </c>
      <c r="D34" s="2">
        <v>27.04</v>
      </c>
      <c r="E34" s="2">
        <v>26.42</v>
      </c>
      <c r="K34" s="2"/>
      <c r="L34" s="2"/>
    </row>
    <row r="35" spans="1:12" x14ac:dyDescent="0.2">
      <c r="A35" s="2">
        <v>1.65</v>
      </c>
      <c r="B35" s="2">
        <v>29.46</v>
      </c>
      <c r="C35" s="2">
        <v>28.82</v>
      </c>
      <c r="D35" s="2">
        <v>28.2</v>
      </c>
      <c r="E35" s="2">
        <v>27.56</v>
      </c>
      <c r="K35" s="2"/>
      <c r="L35" s="2"/>
    </row>
    <row r="36" spans="1:12" x14ac:dyDescent="0.2">
      <c r="A36" s="2">
        <v>1.7</v>
      </c>
      <c r="B36" s="2">
        <v>30.64</v>
      </c>
      <c r="C36" s="2">
        <v>29.99</v>
      </c>
      <c r="D36" s="2">
        <v>29.35</v>
      </c>
      <c r="E36" s="2">
        <v>28.71</v>
      </c>
      <c r="K36" s="2"/>
      <c r="L36" s="2"/>
    </row>
    <row r="37" spans="1:12" x14ac:dyDescent="0.2">
      <c r="A37" s="2">
        <v>1.75</v>
      </c>
      <c r="B37" s="2">
        <v>31.81</v>
      </c>
      <c r="C37" s="2">
        <v>31.15</v>
      </c>
      <c r="D37" s="2">
        <v>30.52</v>
      </c>
      <c r="E37" s="2">
        <v>29.9</v>
      </c>
      <c r="K37" s="2"/>
      <c r="L37" s="2"/>
    </row>
    <row r="38" spans="1:12" x14ac:dyDescent="0.2">
      <c r="A38" s="2">
        <v>1.8</v>
      </c>
      <c r="B38" s="2">
        <v>33</v>
      </c>
      <c r="C38" s="2">
        <v>32.36</v>
      </c>
      <c r="D38" s="2">
        <v>31.71</v>
      </c>
      <c r="E38" s="2">
        <v>31.08</v>
      </c>
      <c r="K38" s="2"/>
      <c r="L38" s="2"/>
    </row>
    <row r="39" spans="1:12" x14ac:dyDescent="0.2">
      <c r="A39" s="2">
        <v>1.85</v>
      </c>
      <c r="B39" s="2">
        <v>34.200000000000003</v>
      </c>
      <c r="C39" s="2">
        <v>33.56</v>
      </c>
      <c r="D39" s="2">
        <v>32.909999999999997</v>
      </c>
      <c r="E39" s="2">
        <v>32.270000000000003</v>
      </c>
      <c r="K39" s="2"/>
      <c r="L39" s="2"/>
    </row>
    <row r="40" spans="1:12" x14ac:dyDescent="0.2">
      <c r="A40" s="2">
        <v>1.9</v>
      </c>
      <c r="B40" s="2">
        <v>35.409999999999997</v>
      </c>
      <c r="C40" s="2">
        <v>34.76</v>
      </c>
      <c r="D40" s="2">
        <v>34.1</v>
      </c>
      <c r="E40" s="2">
        <v>33.46</v>
      </c>
      <c r="K40" s="2"/>
      <c r="L40" s="2"/>
    </row>
    <row r="41" spans="1:12" x14ac:dyDescent="0.2">
      <c r="A41" s="2">
        <v>1.95</v>
      </c>
      <c r="B41" s="2">
        <v>36.61</v>
      </c>
      <c r="C41" s="2">
        <v>35.96</v>
      </c>
      <c r="D41" s="2">
        <v>35.299999999999997</v>
      </c>
      <c r="E41" s="2">
        <v>34.65</v>
      </c>
      <c r="K41" s="2"/>
      <c r="L41" s="2"/>
    </row>
    <row r="42" spans="1:12" x14ac:dyDescent="0.2">
      <c r="A42" s="2">
        <v>2</v>
      </c>
      <c r="B42" s="2">
        <v>37.81</v>
      </c>
      <c r="C42" s="2">
        <v>37.159999999999997</v>
      </c>
      <c r="D42" s="2">
        <v>36.5</v>
      </c>
      <c r="E42" s="2">
        <v>35.85</v>
      </c>
      <c r="K42" s="2"/>
      <c r="L42" s="2"/>
    </row>
    <row r="43" spans="1:12" x14ac:dyDescent="0.2">
      <c r="A43" s="2">
        <v>2.0499999999999998</v>
      </c>
      <c r="B43" s="2">
        <v>39.020000000000003</v>
      </c>
      <c r="C43" s="2">
        <v>38.36</v>
      </c>
      <c r="D43" s="2">
        <v>37.71</v>
      </c>
      <c r="E43" s="2">
        <v>37.06</v>
      </c>
      <c r="K43" s="2"/>
      <c r="L43" s="2"/>
    </row>
    <row r="44" spans="1:12" x14ac:dyDescent="0.2">
      <c r="A44" s="2">
        <v>2.1</v>
      </c>
      <c r="B44" s="2">
        <v>40.229999999999997</v>
      </c>
      <c r="C44" s="2">
        <v>39.57</v>
      </c>
      <c r="D44" s="2">
        <v>38.92</v>
      </c>
      <c r="E44" s="2">
        <v>38.26</v>
      </c>
      <c r="K44" s="2"/>
      <c r="L44" s="2"/>
    </row>
    <row r="45" spans="1:12" x14ac:dyDescent="0.2">
      <c r="A45" s="2">
        <v>2.15</v>
      </c>
      <c r="B45" s="2">
        <v>41.45</v>
      </c>
      <c r="C45" s="2">
        <v>40.79</v>
      </c>
      <c r="D45" s="2">
        <v>40.130000000000003</v>
      </c>
      <c r="E45" s="2">
        <v>39.47</v>
      </c>
      <c r="K45" s="2"/>
      <c r="L45" s="2"/>
    </row>
    <row r="46" spans="1:12" x14ac:dyDescent="0.2">
      <c r="A46" s="2">
        <v>2.2000000000000002</v>
      </c>
      <c r="B46" s="2">
        <v>42.66</v>
      </c>
      <c r="C46" s="2">
        <v>42</v>
      </c>
      <c r="D46" s="2">
        <v>41.34</v>
      </c>
      <c r="E46" s="2">
        <v>40.68</v>
      </c>
      <c r="K46" s="2"/>
      <c r="L46" s="2"/>
    </row>
    <row r="47" spans="1:12" x14ac:dyDescent="0.2">
      <c r="A47" s="2">
        <v>2.25</v>
      </c>
      <c r="B47" s="2">
        <v>43.88</v>
      </c>
      <c r="C47" s="2">
        <v>43.21</v>
      </c>
      <c r="D47" s="2">
        <v>42.55</v>
      </c>
      <c r="E47" s="2">
        <v>41.89</v>
      </c>
      <c r="K47" s="2"/>
      <c r="L47" s="2"/>
    </row>
    <row r="48" spans="1:12" x14ac:dyDescent="0.2">
      <c r="A48" s="2">
        <v>2.2999999999999998</v>
      </c>
      <c r="B48" s="2">
        <v>45.09</v>
      </c>
      <c r="C48" s="2">
        <v>44.43</v>
      </c>
      <c r="D48" s="2">
        <v>43.77</v>
      </c>
      <c r="E48" s="2">
        <v>43.11</v>
      </c>
      <c r="K48" s="2"/>
      <c r="L48" s="2"/>
    </row>
    <row r="49" spans="1:12" x14ac:dyDescent="0.2">
      <c r="A49" s="2">
        <v>2.35</v>
      </c>
      <c r="B49" s="2">
        <v>46.31</v>
      </c>
      <c r="C49" s="2">
        <v>45.65</v>
      </c>
      <c r="D49" s="2">
        <v>44.99</v>
      </c>
      <c r="E49" s="2">
        <v>44.33</v>
      </c>
      <c r="K49" s="2"/>
      <c r="L49" s="2"/>
    </row>
    <row r="50" spans="1:12" x14ac:dyDescent="0.2">
      <c r="A50" s="2">
        <v>2.4</v>
      </c>
      <c r="B50" s="2">
        <v>47.53</v>
      </c>
      <c r="C50" s="2">
        <v>46.87</v>
      </c>
      <c r="D50" s="2">
        <v>46.21</v>
      </c>
      <c r="E50" s="2">
        <v>45.55</v>
      </c>
      <c r="K50" s="2"/>
      <c r="L50" s="2"/>
    </row>
    <row r="51" spans="1:12" x14ac:dyDescent="0.2">
      <c r="A51" s="2">
        <v>2.4500000000000002</v>
      </c>
      <c r="B51" s="2">
        <v>48.75</v>
      </c>
      <c r="C51" s="2">
        <v>48.09</v>
      </c>
      <c r="D51" s="2">
        <v>47.43</v>
      </c>
      <c r="E51" s="2">
        <v>46.76</v>
      </c>
    </row>
    <row r="52" spans="1:12" x14ac:dyDescent="0.2">
      <c r="A52" s="2">
        <v>2.5</v>
      </c>
      <c r="B52" s="2">
        <v>49.97</v>
      </c>
      <c r="C52" s="2">
        <v>49.31</v>
      </c>
      <c r="D52" s="2">
        <v>48.65</v>
      </c>
      <c r="E52" s="2">
        <v>47.98</v>
      </c>
    </row>
    <row r="53" spans="1:12" x14ac:dyDescent="0.2">
      <c r="A53" s="2">
        <v>2.5499999999999998</v>
      </c>
      <c r="B53" s="2">
        <v>51.19</v>
      </c>
      <c r="C53" s="2">
        <v>50.52</v>
      </c>
      <c r="D53" s="2">
        <v>49.87</v>
      </c>
      <c r="E53" s="2">
        <v>49.2</v>
      </c>
    </row>
    <row r="54" spans="1:12" x14ac:dyDescent="0.2">
      <c r="A54" s="2">
        <v>2.6</v>
      </c>
      <c r="B54" s="2">
        <v>52.41</v>
      </c>
      <c r="C54" s="2">
        <v>51.74</v>
      </c>
      <c r="D54" s="2">
        <v>51.09</v>
      </c>
      <c r="E54" s="2">
        <v>50.42</v>
      </c>
    </row>
    <row r="55" spans="1:12" x14ac:dyDescent="0.2">
      <c r="A55" s="2">
        <v>2.65</v>
      </c>
      <c r="B55" s="2">
        <v>53.63</v>
      </c>
      <c r="C55" s="2">
        <v>52.96</v>
      </c>
      <c r="D55" s="2">
        <v>52.31</v>
      </c>
      <c r="E55" s="2">
        <v>51.64</v>
      </c>
    </row>
    <row r="56" spans="1:12" x14ac:dyDescent="0.2">
      <c r="A56" s="2">
        <v>2.7</v>
      </c>
      <c r="B56" s="2">
        <v>54.85</v>
      </c>
      <c r="C56" s="2">
        <v>54.18</v>
      </c>
      <c r="D56" s="2">
        <v>53.53</v>
      </c>
      <c r="E56" s="2">
        <v>52.86</v>
      </c>
    </row>
    <row r="57" spans="1:12" x14ac:dyDescent="0.2">
      <c r="A57" s="2">
        <v>2.75</v>
      </c>
      <c r="B57" s="2">
        <v>56.07</v>
      </c>
      <c r="C57" s="2">
        <v>55.4</v>
      </c>
      <c r="D57" s="2">
        <v>54.74</v>
      </c>
      <c r="E57" s="2">
        <v>54.09</v>
      </c>
    </row>
    <row r="58" spans="1:12" x14ac:dyDescent="0.2">
      <c r="A58" s="2">
        <v>2.8</v>
      </c>
      <c r="B58" s="2">
        <v>57.29</v>
      </c>
      <c r="C58" s="2">
        <v>56.64</v>
      </c>
      <c r="D58" s="2">
        <v>55.96</v>
      </c>
      <c r="E58" s="2">
        <v>55.31</v>
      </c>
    </row>
    <row r="59" spans="1:12" x14ac:dyDescent="0.2">
      <c r="A59" s="2">
        <v>2.85</v>
      </c>
      <c r="B59" s="2">
        <v>58.51</v>
      </c>
      <c r="C59" s="2">
        <v>57.86</v>
      </c>
      <c r="D59" s="2">
        <v>57.18</v>
      </c>
      <c r="E59" s="2">
        <v>56.53</v>
      </c>
    </row>
    <row r="60" spans="1:12" x14ac:dyDescent="0.2">
      <c r="A60" s="2">
        <v>2.9</v>
      </c>
      <c r="B60" s="2">
        <v>59.73</v>
      </c>
      <c r="C60" s="2">
        <v>59.08</v>
      </c>
      <c r="D60" s="2">
        <v>58.4</v>
      </c>
      <c r="E60" s="2">
        <v>57.75</v>
      </c>
    </row>
    <row r="61" spans="1:12" x14ac:dyDescent="0.2">
      <c r="A61" s="2">
        <v>2.95</v>
      </c>
      <c r="B61" s="2">
        <v>60.95</v>
      </c>
      <c r="C61" s="2">
        <v>60.3</v>
      </c>
      <c r="D61" s="2">
        <v>59.62</v>
      </c>
      <c r="E61" s="2">
        <v>58.97</v>
      </c>
    </row>
    <row r="62" spans="1:12" x14ac:dyDescent="0.2">
      <c r="A62" s="2">
        <v>3</v>
      </c>
      <c r="B62" s="2">
        <v>62.17</v>
      </c>
      <c r="C62" s="2">
        <v>61.52</v>
      </c>
      <c r="D62" s="2">
        <v>60.85</v>
      </c>
      <c r="E62" s="2">
        <v>60.18</v>
      </c>
    </row>
    <row r="63" spans="1:12" x14ac:dyDescent="0.2">
      <c r="A63" s="2">
        <v>3.05</v>
      </c>
      <c r="B63" s="2">
        <v>63.39</v>
      </c>
      <c r="C63" s="2">
        <v>62.73</v>
      </c>
      <c r="D63" s="2">
        <v>62.07</v>
      </c>
      <c r="E63" s="2">
        <v>61.41</v>
      </c>
    </row>
    <row r="64" spans="1:12" x14ac:dyDescent="0.2">
      <c r="A64" s="2">
        <v>3.1</v>
      </c>
      <c r="B64" s="2">
        <v>64.62</v>
      </c>
      <c r="C64" s="2">
        <v>63.95</v>
      </c>
      <c r="D64" s="2">
        <v>63.29</v>
      </c>
      <c r="E64" s="2">
        <v>62.63</v>
      </c>
    </row>
    <row r="65" spans="1:5" x14ac:dyDescent="0.2">
      <c r="A65" s="2">
        <v>3.15</v>
      </c>
      <c r="B65" s="2">
        <v>64.84</v>
      </c>
      <c r="C65" s="2">
        <v>65.17</v>
      </c>
      <c r="D65" s="2">
        <v>64.510000000000005</v>
      </c>
      <c r="E65" s="2">
        <v>63.85</v>
      </c>
    </row>
    <row r="66" spans="1:5" x14ac:dyDescent="0.2">
      <c r="A66" s="2">
        <v>3.2</v>
      </c>
      <c r="B66" s="2">
        <v>67.06</v>
      </c>
      <c r="C66" s="2">
        <v>66.39</v>
      </c>
      <c r="D66" s="2">
        <v>65.73</v>
      </c>
      <c r="E66" s="2">
        <v>65.069999999999993</v>
      </c>
    </row>
    <row r="67" spans="1:5" x14ac:dyDescent="0.2">
      <c r="A67" s="2">
        <v>3.25</v>
      </c>
      <c r="B67" s="2">
        <v>68.28</v>
      </c>
      <c r="C67" s="2">
        <v>67.61</v>
      </c>
      <c r="D67" s="2">
        <v>66.95</v>
      </c>
      <c r="E67" s="2">
        <v>66.290000000000006</v>
      </c>
    </row>
    <row r="68" spans="1:5" x14ac:dyDescent="0.2">
      <c r="A68" s="2">
        <v>3.3</v>
      </c>
      <c r="B68" s="2">
        <v>69.5</v>
      </c>
      <c r="C68" s="2">
        <v>68.83</v>
      </c>
      <c r="D68" s="2">
        <v>68.17</v>
      </c>
      <c r="E68" s="2">
        <v>67.510000000000005</v>
      </c>
    </row>
    <row r="69" spans="1:5" x14ac:dyDescent="0.2">
      <c r="A69" s="2">
        <v>3.35</v>
      </c>
      <c r="B69" s="2">
        <v>70.72</v>
      </c>
      <c r="C69" s="2">
        <v>70.05</v>
      </c>
      <c r="D69" s="2">
        <v>69.39</v>
      </c>
      <c r="E69" s="2">
        <v>68.73</v>
      </c>
    </row>
    <row r="70" spans="1:5" x14ac:dyDescent="0.2">
      <c r="A70" s="2">
        <v>3.4</v>
      </c>
      <c r="B70" s="2">
        <v>71.94</v>
      </c>
      <c r="C70" s="2">
        <v>71.27</v>
      </c>
      <c r="D70" s="2">
        <v>70.61</v>
      </c>
      <c r="E70" s="2">
        <v>69.95</v>
      </c>
    </row>
    <row r="71" spans="1:5" x14ac:dyDescent="0.2">
      <c r="A71" s="2">
        <v>3.45</v>
      </c>
      <c r="B71" s="2">
        <v>73.16</v>
      </c>
      <c r="C71" s="2">
        <v>72.489999999999995</v>
      </c>
      <c r="D71" s="2">
        <v>71.83</v>
      </c>
      <c r="E71" s="2">
        <v>71.17</v>
      </c>
    </row>
    <row r="72" spans="1:5" x14ac:dyDescent="0.2">
      <c r="A72" s="2">
        <v>3.5</v>
      </c>
      <c r="B72" s="2">
        <v>74.38</v>
      </c>
      <c r="C72" s="2">
        <v>73.709999999999994</v>
      </c>
      <c r="D72" s="2">
        <v>73.06</v>
      </c>
      <c r="E72" s="2">
        <v>72.38</v>
      </c>
    </row>
    <row r="73" spans="1:5" x14ac:dyDescent="0.2">
      <c r="A73" s="2">
        <v>3.55</v>
      </c>
      <c r="B73" s="2">
        <v>75.599999999999994</v>
      </c>
      <c r="C73" s="2">
        <v>74.92</v>
      </c>
      <c r="D73" s="2">
        <v>74.28</v>
      </c>
      <c r="E73" s="2">
        <v>73.599999999999994</v>
      </c>
    </row>
    <row r="74" spans="1:5" x14ac:dyDescent="0.2">
      <c r="A74" s="2">
        <v>3.6</v>
      </c>
      <c r="B74" s="2">
        <v>76.819999999999993</v>
      </c>
      <c r="C74" s="2">
        <v>76.14</v>
      </c>
      <c r="D74" s="2">
        <v>75.5</v>
      </c>
      <c r="E74" s="2">
        <v>74.819999999999993</v>
      </c>
    </row>
    <row r="75" spans="1:5" x14ac:dyDescent="0.2">
      <c r="A75" s="2">
        <v>3.65</v>
      </c>
      <c r="B75" s="2">
        <v>78.040000000000006</v>
      </c>
      <c r="C75" s="2">
        <v>77.36</v>
      </c>
      <c r="D75" s="2">
        <v>76.72</v>
      </c>
      <c r="E75" s="2">
        <v>76.040000000000006</v>
      </c>
    </row>
    <row r="76" spans="1:5" x14ac:dyDescent="0.2">
      <c r="A76" s="2">
        <v>3.7</v>
      </c>
      <c r="B76" s="2">
        <v>79.260000000000005</v>
      </c>
      <c r="C76" s="2">
        <v>78.58</v>
      </c>
      <c r="D76" s="2">
        <v>77.94</v>
      </c>
      <c r="E76" s="2">
        <v>77.260000000000005</v>
      </c>
    </row>
    <row r="77" spans="1:5" x14ac:dyDescent="0.2">
      <c r="A77" s="2">
        <v>3.75</v>
      </c>
      <c r="B77" s="2">
        <v>80.48</v>
      </c>
      <c r="C77" s="2">
        <v>79.8</v>
      </c>
      <c r="D77" s="2">
        <v>79.14</v>
      </c>
      <c r="E77" s="2">
        <v>78.489999999999995</v>
      </c>
    </row>
    <row r="78" spans="1:5" x14ac:dyDescent="0.2">
      <c r="A78" s="2">
        <v>3.8</v>
      </c>
      <c r="B78" s="2">
        <v>81.7</v>
      </c>
      <c r="C78" s="2">
        <v>81.05</v>
      </c>
      <c r="D78" s="2">
        <v>80.36</v>
      </c>
      <c r="E78" s="2">
        <v>79.709999999999994</v>
      </c>
    </row>
    <row r="79" spans="1:5" x14ac:dyDescent="0.2">
      <c r="A79" s="2">
        <v>3.85</v>
      </c>
      <c r="B79" s="2">
        <v>82.92</v>
      </c>
      <c r="C79" s="2">
        <v>82.27</v>
      </c>
      <c r="D79" s="2">
        <v>81.58</v>
      </c>
      <c r="E79" s="2">
        <v>80.930000000000007</v>
      </c>
    </row>
    <row r="80" spans="1:5" x14ac:dyDescent="0.2">
      <c r="A80" s="2">
        <v>3.9</v>
      </c>
      <c r="B80" s="2">
        <v>84.14</v>
      </c>
      <c r="C80" s="2">
        <v>83.49</v>
      </c>
      <c r="D80" s="2">
        <v>82.8</v>
      </c>
      <c r="E80" s="2">
        <v>82.15</v>
      </c>
    </row>
    <row r="81" spans="1:5" x14ac:dyDescent="0.2">
      <c r="A81" s="2">
        <v>3.95</v>
      </c>
      <c r="B81" s="2">
        <v>85.36</v>
      </c>
      <c r="C81" s="2">
        <v>84.71</v>
      </c>
      <c r="D81" s="2">
        <v>84.02</v>
      </c>
      <c r="E81" s="2">
        <v>83.37</v>
      </c>
    </row>
    <row r="82" spans="1:5" x14ac:dyDescent="0.2">
      <c r="A82" s="2">
        <v>4</v>
      </c>
      <c r="B82" s="2">
        <v>86.58</v>
      </c>
      <c r="C82" s="2">
        <v>85.93</v>
      </c>
      <c r="D82" s="2">
        <v>85.25</v>
      </c>
      <c r="E82" s="2">
        <v>84.59</v>
      </c>
    </row>
    <row r="83" spans="1:5" x14ac:dyDescent="0.2">
      <c r="A83" s="2">
        <v>4.05</v>
      </c>
      <c r="B83" s="2">
        <v>87.8</v>
      </c>
      <c r="C83" s="2">
        <v>87.13</v>
      </c>
      <c r="D83" s="2">
        <v>86.47</v>
      </c>
      <c r="E83" s="2">
        <v>85.81</v>
      </c>
    </row>
    <row r="84" spans="1:5" x14ac:dyDescent="0.2">
      <c r="A84" s="2">
        <v>4.0999999999999996</v>
      </c>
      <c r="B84" s="2">
        <v>89.02</v>
      </c>
      <c r="C84" s="2">
        <v>88.35</v>
      </c>
      <c r="D84" s="2">
        <v>87.69</v>
      </c>
      <c r="E84" s="2">
        <v>87.03</v>
      </c>
    </row>
    <row r="85" spans="1:5" x14ac:dyDescent="0.2">
      <c r="A85" s="2">
        <v>4.1500000000000004</v>
      </c>
      <c r="B85" s="2">
        <v>90.24</v>
      </c>
      <c r="C85" s="2">
        <v>89.57</v>
      </c>
      <c r="D85" s="2">
        <v>88.91</v>
      </c>
      <c r="E85" s="2">
        <v>88.25</v>
      </c>
    </row>
    <row r="86" spans="1:5" x14ac:dyDescent="0.2">
      <c r="A86" s="2">
        <v>4.2</v>
      </c>
      <c r="B86" s="2">
        <v>91.46</v>
      </c>
      <c r="C86" s="2">
        <v>90.8</v>
      </c>
      <c r="D86" s="2">
        <v>90.13</v>
      </c>
      <c r="E86" s="2">
        <v>89.47</v>
      </c>
    </row>
    <row r="87" spans="1:5" x14ac:dyDescent="0.2">
      <c r="A87" s="2">
        <v>4.25</v>
      </c>
      <c r="B87" s="2">
        <v>92.68</v>
      </c>
      <c r="C87" s="2">
        <v>92.02</v>
      </c>
      <c r="D87" s="2">
        <v>91.35</v>
      </c>
      <c r="E87" s="2">
        <v>90.69</v>
      </c>
    </row>
    <row r="88" spans="1:5" x14ac:dyDescent="0.2">
      <c r="A88" s="2">
        <v>4.3</v>
      </c>
      <c r="B88" s="2">
        <v>93.9</v>
      </c>
      <c r="C88" s="2">
        <v>93.24</v>
      </c>
      <c r="D88" s="2">
        <v>92.57</v>
      </c>
      <c r="E88" s="2">
        <v>91.91</v>
      </c>
    </row>
    <row r="89" spans="1:5" x14ac:dyDescent="0.2">
      <c r="A89" s="2">
        <v>4.3499999999999996</v>
      </c>
      <c r="B89" s="2">
        <v>95.12</v>
      </c>
      <c r="C89" s="2">
        <v>94.46</v>
      </c>
      <c r="D89" s="2">
        <v>93.79</v>
      </c>
      <c r="E89" s="2">
        <v>93.13</v>
      </c>
    </row>
    <row r="90" spans="1:5" x14ac:dyDescent="0.2">
      <c r="A90" s="2">
        <v>4.4000000000000004</v>
      </c>
      <c r="B90" s="2">
        <v>96.34</v>
      </c>
      <c r="C90" s="2">
        <v>95.68</v>
      </c>
      <c r="D90" s="2">
        <v>95.01</v>
      </c>
      <c r="E90" s="2">
        <v>94.35</v>
      </c>
    </row>
    <row r="91" spans="1:5" x14ac:dyDescent="0.2">
      <c r="A91" s="2">
        <v>4.45</v>
      </c>
      <c r="B91" s="2">
        <v>97.56</v>
      </c>
      <c r="C91" s="2">
        <v>96.9</v>
      </c>
      <c r="D91" s="2">
        <v>96.23</v>
      </c>
      <c r="E91" s="2">
        <v>95.57</v>
      </c>
    </row>
    <row r="92" spans="1:5" x14ac:dyDescent="0.2">
      <c r="A92" s="2">
        <v>4.5</v>
      </c>
      <c r="B92" s="2">
        <v>98.78</v>
      </c>
      <c r="C92" s="2">
        <v>98.12</v>
      </c>
      <c r="D92" s="2">
        <v>97.46</v>
      </c>
      <c r="E92" s="2">
        <v>96.79</v>
      </c>
    </row>
    <row r="93" spans="1:5" x14ac:dyDescent="0.2">
      <c r="A93" s="2">
        <v>4.55</v>
      </c>
      <c r="B93" s="2">
        <v>100</v>
      </c>
      <c r="C93" s="2">
        <v>99.32</v>
      </c>
      <c r="D93" s="2">
        <v>98.68</v>
      </c>
      <c r="E93" s="2">
        <v>98.01</v>
      </c>
    </row>
    <row r="94" spans="1:5" x14ac:dyDescent="0.2">
      <c r="A94" s="2">
        <v>4.5999999999999996</v>
      </c>
      <c r="B94" s="2">
        <v>101.22</v>
      </c>
      <c r="C94" s="2">
        <v>100.54</v>
      </c>
      <c r="D94" s="2">
        <v>99.91</v>
      </c>
      <c r="E94" s="2">
        <v>99.23</v>
      </c>
    </row>
    <row r="95" spans="1:5" x14ac:dyDescent="0.2">
      <c r="A95" s="2">
        <v>4.6500000000000004</v>
      </c>
      <c r="B95" s="2">
        <v>102.44</v>
      </c>
      <c r="C95" s="2">
        <v>101.76</v>
      </c>
      <c r="D95" s="2">
        <v>101.13</v>
      </c>
      <c r="E95" s="2">
        <v>100.45</v>
      </c>
    </row>
    <row r="96" spans="1:5" x14ac:dyDescent="0.2">
      <c r="A96" s="2">
        <v>4.7</v>
      </c>
      <c r="B96" s="2">
        <v>103.66</v>
      </c>
      <c r="C96" s="2">
        <v>102.98</v>
      </c>
      <c r="D96" s="2">
        <v>102.35</v>
      </c>
      <c r="E96" s="2">
        <v>101.67</v>
      </c>
    </row>
    <row r="97" spans="1:5" x14ac:dyDescent="0.2">
      <c r="A97" s="2">
        <v>4.75</v>
      </c>
      <c r="B97" s="2">
        <v>140.88</v>
      </c>
      <c r="C97" s="2">
        <v>104.2</v>
      </c>
      <c r="D97" s="2">
        <v>103.54</v>
      </c>
      <c r="E97" s="2">
        <v>102.9</v>
      </c>
    </row>
    <row r="98" spans="1:5" x14ac:dyDescent="0.2">
      <c r="A98" s="2">
        <v>4.8</v>
      </c>
      <c r="B98" s="2">
        <v>106.1</v>
      </c>
      <c r="C98" s="2">
        <v>105.45</v>
      </c>
      <c r="D98" s="2">
        <v>104.76</v>
      </c>
      <c r="E98" s="2">
        <v>104.12</v>
      </c>
    </row>
    <row r="99" spans="1:5" x14ac:dyDescent="0.2">
      <c r="A99" s="2">
        <v>4.8499999999999996</v>
      </c>
      <c r="B99" s="2">
        <v>107.32</v>
      </c>
      <c r="C99" s="2">
        <v>106.67</v>
      </c>
      <c r="D99" s="2">
        <v>105.98</v>
      </c>
      <c r="E99" s="2">
        <v>105.34</v>
      </c>
    </row>
    <row r="100" spans="1:5" x14ac:dyDescent="0.2">
      <c r="A100" s="2">
        <v>4.9000000000000004</v>
      </c>
      <c r="B100" s="2">
        <v>108.54</v>
      </c>
      <c r="C100" s="2">
        <v>107.89</v>
      </c>
      <c r="D100" s="2">
        <v>107.2</v>
      </c>
      <c r="E100" s="2">
        <v>106.56</v>
      </c>
    </row>
    <row r="101" spans="1:5" x14ac:dyDescent="0.2">
      <c r="A101" s="2">
        <v>4.95</v>
      </c>
      <c r="B101" s="2">
        <v>109.76</v>
      </c>
      <c r="C101" s="2">
        <v>109.11</v>
      </c>
      <c r="D101" s="2">
        <v>108.42</v>
      </c>
      <c r="E101" s="2">
        <v>107.78</v>
      </c>
    </row>
    <row r="102" spans="1:5" x14ac:dyDescent="0.2">
      <c r="A102" s="2">
        <v>5</v>
      </c>
      <c r="B102" s="2">
        <v>110.98</v>
      </c>
      <c r="C102" s="2">
        <v>110.33</v>
      </c>
      <c r="D102" s="2">
        <v>109.66</v>
      </c>
      <c r="E102" s="2">
        <v>108.99</v>
      </c>
    </row>
    <row r="103" spans="1:5" x14ac:dyDescent="0.2">
      <c r="A103" s="2">
        <v>5.05</v>
      </c>
      <c r="B103" s="2">
        <v>112.2</v>
      </c>
      <c r="C103" s="2">
        <v>111.54</v>
      </c>
      <c r="D103" s="2">
        <v>110.88</v>
      </c>
      <c r="E103" s="2">
        <v>110.21</v>
      </c>
    </row>
    <row r="104" spans="1:5" x14ac:dyDescent="0.2">
      <c r="A104" s="2">
        <v>5.0999999999999996</v>
      </c>
      <c r="B104" s="2">
        <v>113.42</v>
      </c>
      <c r="C104" s="2">
        <v>112.76</v>
      </c>
      <c r="D104" s="2">
        <v>112.1</v>
      </c>
      <c r="E104" s="2">
        <v>111.43</v>
      </c>
    </row>
    <row r="105" spans="1:5" x14ac:dyDescent="0.2">
      <c r="A105" s="2">
        <v>5.15</v>
      </c>
      <c r="B105" s="2">
        <v>114.64</v>
      </c>
      <c r="C105" s="2">
        <v>113.98</v>
      </c>
      <c r="D105" s="2">
        <v>113.32</v>
      </c>
      <c r="E105" s="2">
        <v>112.65</v>
      </c>
    </row>
    <row r="106" spans="1:5" x14ac:dyDescent="0.2">
      <c r="A106" s="2">
        <v>5.2</v>
      </c>
      <c r="B106" s="2">
        <v>115.86</v>
      </c>
      <c r="C106" s="2">
        <v>115.2</v>
      </c>
      <c r="D106" s="2">
        <v>114.54</v>
      </c>
      <c r="E106" s="2">
        <v>113.87</v>
      </c>
    </row>
    <row r="107" spans="1:5" x14ac:dyDescent="0.2">
      <c r="A107" s="2">
        <v>5.25</v>
      </c>
      <c r="B107" s="2">
        <v>117.08</v>
      </c>
      <c r="C107" s="2">
        <v>116.42</v>
      </c>
      <c r="D107" s="2">
        <v>115.76</v>
      </c>
      <c r="E107" s="2">
        <v>115.09</v>
      </c>
    </row>
    <row r="108" spans="1:5" x14ac:dyDescent="0.2">
      <c r="A108" s="2">
        <v>5.3</v>
      </c>
      <c r="B108" s="2">
        <v>118.3</v>
      </c>
      <c r="C108" s="2">
        <v>117.64</v>
      </c>
      <c r="D108" s="2">
        <v>116.98</v>
      </c>
      <c r="E108" s="2">
        <v>116.31</v>
      </c>
    </row>
    <row r="109" spans="1:5" x14ac:dyDescent="0.2">
      <c r="A109" s="2">
        <v>5.35</v>
      </c>
      <c r="B109" s="2">
        <v>119.52</v>
      </c>
      <c r="C109" s="2">
        <v>118.86</v>
      </c>
      <c r="D109" s="2">
        <v>118.2</v>
      </c>
      <c r="E109" s="2">
        <v>117.53</v>
      </c>
    </row>
    <row r="110" spans="1:5" x14ac:dyDescent="0.2">
      <c r="A110" s="2">
        <v>5.4</v>
      </c>
      <c r="B110" s="2">
        <v>120.74</v>
      </c>
      <c r="C110" s="2">
        <v>120.08</v>
      </c>
      <c r="D110" s="2">
        <v>119.42</v>
      </c>
      <c r="E110" s="2">
        <v>118.75</v>
      </c>
    </row>
    <row r="111" spans="1:5" x14ac:dyDescent="0.2">
      <c r="A111" s="2">
        <v>5.45</v>
      </c>
      <c r="B111" s="2">
        <v>121.96</v>
      </c>
      <c r="C111" s="2">
        <v>121.3</v>
      </c>
      <c r="D111" s="2">
        <v>120.64</v>
      </c>
      <c r="E111" s="2">
        <v>119.97</v>
      </c>
    </row>
    <row r="112" spans="1:5" x14ac:dyDescent="0.2">
      <c r="A112" s="2">
        <v>5.5</v>
      </c>
      <c r="B112" s="2">
        <v>123.18</v>
      </c>
      <c r="C112" s="2">
        <v>122.52</v>
      </c>
      <c r="D112" s="2">
        <v>121.87</v>
      </c>
      <c r="E112" s="2">
        <v>121.19</v>
      </c>
    </row>
    <row r="113" spans="1:5" x14ac:dyDescent="0.2">
      <c r="A113" s="2">
        <v>5.55</v>
      </c>
      <c r="B113" s="2">
        <v>124.4</v>
      </c>
      <c r="C113" s="2">
        <v>123.72</v>
      </c>
      <c r="D113" s="2">
        <v>123.09</v>
      </c>
      <c r="E113" s="2">
        <v>122.41</v>
      </c>
    </row>
    <row r="114" spans="1:5" x14ac:dyDescent="0.2">
      <c r="A114" s="2">
        <v>5.6</v>
      </c>
      <c r="B114" s="2">
        <v>125.62</v>
      </c>
      <c r="C114" s="2">
        <v>124.94</v>
      </c>
      <c r="D114" s="2">
        <v>124.31</v>
      </c>
      <c r="E114" s="2">
        <v>123.63</v>
      </c>
    </row>
    <row r="115" spans="1:5" x14ac:dyDescent="0.2">
      <c r="A115" s="2">
        <v>5.65</v>
      </c>
      <c r="B115" s="2">
        <v>126.84</v>
      </c>
      <c r="C115" s="2">
        <v>126.16</v>
      </c>
      <c r="D115" s="2">
        <v>125.53</v>
      </c>
      <c r="E115" s="2">
        <v>124.85</v>
      </c>
    </row>
    <row r="116" spans="1:5" x14ac:dyDescent="0.2">
      <c r="A116" s="2">
        <v>5.7</v>
      </c>
      <c r="B116" s="2">
        <v>128.06</v>
      </c>
      <c r="C116" s="2">
        <v>127.38</v>
      </c>
      <c r="D116" s="2">
        <v>126.75</v>
      </c>
      <c r="E116" s="2">
        <v>126.07</v>
      </c>
    </row>
    <row r="117" spans="1:5" x14ac:dyDescent="0.2">
      <c r="A117" s="2">
        <v>5.75</v>
      </c>
      <c r="B117" s="2">
        <v>129.28</v>
      </c>
      <c r="C117" s="2">
        <v>128.6</v>
      </c>
      <c r="D117" s="2">
        <v>127.94</v>
      </c>
      <c r="E117" s="2">
        <v>127.3</v>
      </c>
    </row>
    <row r="118" spans="1:5" x14ac:dyDescent="0.2">
      <c r="A118" s="2">
        <v>5.8</v>
      </c>
      <c r="B118" s="2">
        <v>130.5</v>
      </c>
      <c r="C118" s="2">
        <v>129.86000000000001</v>
      </c>
      <c r="D118" s="2">
        <v>129.16</v>
      </c>
      <c r="E118" s="2">
        <v>128.52000000000001</v>
      </c>
    </row>
    <row r="119" spans="1:5" x14ac:dyDescent="0.2">
      <c r="A119" s="2">
        <v>5.85</v>
      </c>
      <c r="B119" s="2">
        <v>131.72</v>
      </c>
      <c r="C119" s="2">
        <v>131.08000000000001</v>
      </c>
      <c r="D119" s="2">
        <v>130.38</v>
      </c>
      <c r="E119" s="2">
        <v>129.74</v>
      </c>
    </row>
    <row r="120" spans="1:5" x14ac:dyDescent="0.2">
      <c r="A120" s="2">
        <v>5.9</v>
      </c>
      <c r="B120" s="2">
        <v>132.94999999999999</v>
      </c>
      <c r="C120" s="2">
        <v>132.30000000000001</v>
      </c>
      <c r="D120" s="2">
        <v>131.6</v>
      </c>
      <c r="E120" s="2">
        <v>130.96</v>
      </c>
    </row>
    <row r="121" spans="1:5" x14ac:dyDescent="0.2">
      <c r="A121" s="2">
        <v>5.95</v>
      </c>
      <c r="B121" s="2">
        <v>134.16999999999999</v>
      </c>
      <c r="C121" s="2">
        <v>133.52000000000001</v>
      </c>
      <c r="D121" s="2">
        <v>132.83000000000001</v>
      </c>
      <c r="E121" s="2">
        <v>132.18</v>
      </c>
    </row>
    <row r="122" spans="1:5" x14ac:dyDescent="0.2">
      <c r="A122" s="2">
        <v>6</v>
      </c>
      <c r="B122" s="2">
        <v>135.38999999999999</v>
      </c>
      <c r="C122" s="2">
        <v>134.74</v>
      </c>
      <c r="D122" s="2">
        <v>134.06</v>
      </c>
      <c r="E122" s="2">
        <v>133.4</v>
      </c>
    </row>
    <row r="123" spans="1:5" x14ac:dyDescent="0.2">
      <c r="A123" s="2">
        <v>6.05</v>
      </c>
      <c r="B123" s="2">
        <v>136.61000000000001</v>
      </c>
      <c r="C123" s="2">
        <v>135.94</v>
      </c>
      <c r="D123" s="2">
        <v>135.28</v>
      </c>
      <c r="E123" s="2">
        <v>134.62</v>
      </c>
    </row>
    <row r="124" spans="1:5" x14ac:dyDescent="0.2">
      <c r="A124" s="2">
        <v>6.1</v>
      </c>
      <c r="B124" s="2">
        <v>137.83000000000001</v>
      </c>
      <c r="C124" s="2">
        <v>137.16</v>
      </c>
      <c r="D124" s="2">
        <v>136.5</v>
      </c>
      <c r="E124" s="2">
        <v>135.84</v>
      </c>
    </row>
    <row r="125" spans="1:5" x14ac:dyDescent="0.2">
      <c r="A125" s="2">
        <v>6.15</v>
      </c>
      <c r="B125" s="2">
        <v>139.05000000000001</v>
      </c>
      <c r="C125" s="2">
        <v>138.38</v>
      </c>
      <c r="D125" s="2">
        <v>137.72</v>
      </c>
      <c r="E125" s="2">
        <v>137.06</v>
      </c>
    </row>
    <row r="126" spans="1:5" x14ac:dyDescent="0.2">
      <c r="A126" s="2">
        <v>6.2</v>
      </c>
      <c r="B126" s="2">
        <v>140.27000000000001</v>
      </c>
      <c r="C126" s="2">
        <v>139.6</v>
      </c>
      <c r="D126" s="2">
        <v>138.94</v>
      </c>
      <c r="E126" s="2">
        <v>138.28</v>
      </c>
    </row>
    <row r="127" spans="1:5" x14ac:dyDescent="0.2">
      <c r="A127" s="2">
        <v>6.25</v>
      </c>
      <c r="B127" s="2">
        <v>141.49</v>
      </c>
      <c r="C127" s="2">
        <v>140.82</v>
      </c>
      <c r="D127" s="2">
        <v>140.16</v>
      </c>
      <c r="E127" s="2">
        <v>139.5</v>
      </c>
    </row>
    <row r="128" spans="1:5" x14ac:dyDescent="0.2">
      <c r="A128" s="2">
        <v>6.3</v>
      </c>
      <c r="B128" s="2">
        <v>142.71</v>
      </c>
      <c r="C128" s="2">
        <v>142.04</v>
      </c>
      <c r="D128" s="2">
        <v>141.38</v>
      </c>
      <c r="E128" s="2">
        <v>140.72</v>
      </c>
    </row>
    <row r="129" spans="1:5" x14ac:dyDescent="0.2">
      <c r="A129" s="2">
        <v>6.35</v>
      </c>
      <c r="B129" s="2">
        <v>143.93</v>
      </c>
      <c r="C129" s="2">
        <v>143.26</v>
      </c>
      <c r="D129" s="2">
        <v>143.82</v>
      </c>
      <c r="E129" s="2">
        <v>141.94</v>
      </c>
    </row>
    <row r="130" spans="1:5" x14ac:dyDescent="0.2">
      <c r="A130" s="2">
        <v>6.4</v>
      </c>
      <c r="B130" s="2">
        <v>145.15</v>
      </c>
      <c r="C130" s="2">
        <v>144.47999999999999</v>
      </c>
      <c r="D130" s="2">
        <v>143.82</v>
      </c>
      <c r="E130" s="2">
        <v>143.16</v>
      </c>
    </row>
    <row r="131" spans="1:5" x14ac:dyDescent="0.2">
      <c r="A131" s="2">
        <v>6.45</v>
      </c>
      <c r="B131" s="2">
        <v>146.37</v>
      </c>
      <c r="C131" s="2">
        <v>145.69999999999999</v>
      </c>
      <c r="D131" s="2">
        <v>145.04</v>
      </c>
      <c r="E131" s="2">
        <v>144.38</v>
      </c>
    </row>
    <row r="132" spans="1:5" x14ac:dyDescent="0.2">
      <c r="A132" s="2">
        <v>6.5</v>
      </c>
      <c r="B132" s="2">
        <v>147.59</v>
      </c>
      <c r="C132" s="2">
        <v>146.91999999999999</v>
      </c>
      <c r="D132" s="2">
        <v>146.28</v>
      </c>
      <c r="E132" s="2">
        <v>145.59</v>
      </c>
    </row>
    <row r="133" spans="1:5" x14ac:dyDescent="0.2">
      <c r="A133" s="2">
        <v>6.55</v>
      </c>
      <c r="B133" s="2">
        <v>148.81</v>
      </c>
      <c r="C133" s="2">
        <v>148.12</v>
      </c>
      <c r="D133" s="2">
        <v>147.5</v>
      </c>
      <c r="E133" s="2">
        <v>146.81</v>
      </c>
    </row>
    <row r="134" spans="1:5" x14ac:dyDescent="0.2">
      <c r="A134" s="2">
        <v>6.6</v>
      </c>
      <c r="B134" s="2">
        <v>150.03</v>
      </c>
      <c r="C134" s="2">
        <v>149.34</v>
      </c>
      <c r="D134" s="2">
        <v>148.72</v>
      </c>
      <c r="E134" s="2">
        <v>148.03</v>
      </c>
    </row>
    <row r="135" spans="1:5" x14ac:dyDescent="0.2">
      <c r="A135" s="2">
        <v>6.65</v>
      </c>
      <c r="B135" s="2">
        <v>151.25</v>
      </c>
      <c r="C135" s="2">
        <v>150.56</v>
      </c>
      <c r="D135" s="2">
        <v>149.94</v>
      </c>
      <c r="E135" s="2">
        <v>149.25</v>
      </c>
    </row>
    <row r="136" spans="1:5" x14ac:dyDescent="0.2">
      <c r="A136" s="2">
        <v>6.7</v>
      </c>
      <c r="B136" s="2">
        <v>152.47</v>
      </c>
      <c r="C136" s="2">
        <v>151.78</v>
      </c>
      <c r="D136" s="2">
        <v>151.16</v>
      </c>
      <c r="E136" s="2">
        <v>150.47</v>
      </c>
    </row>
    <row r="137" spans="1:5" x14ac:dyDescent="0.2">
      <c r="A137" s="2">
        <v>6.75</v>
      </c>
      <c r="B137" s="2">
        <v>153.69</v>
      </c>
      <c r="C137" s="2">
        <v>153</v>
      </c>
      <c r="D137" s="2">
        <v>152.35</v>
      </c>
      <c r="E137" s="2">
        <v>151.69999999999999</v>
      </c>
    </row>
    <row r="138" spans="1:5" x14ac:dyDescent="0.2">
      <c r="A138" s="2">
        <v>6.8</v>
      </c>
      <c r="B138" s="2">
        <v>154.91</v>
      </c>
      <c r="C138" s="2">
        <v>154.27000000000001</v>
      </c>
      <c r="D138" s="2">
        <v>153.57</v>
      </c>
      <c r="E138" s="2">
        <v>152.91999999999999</v>
      </c>
    </row>
    <row r="139" spans="1:5" x14ac:dyDescent="0.2">
      <c r="A139" s="2">
        <v>6.85</v>
      </c>
      <c r="B139" s="2">
        <v>156.13</v>
      </c>
      <c r="C139" s="2">
        <v>155.49</v>
      </c>
      <c r="D139" s="2">
        <v>154.79</v>
      </c>
      <c r="E139" s="2">
        <v>154.13999999999999</v>
      </c>
    </row>
    <row r="140" spans="1:5" x14ac:dyDescent="0.2">
      <c r="A140" s="2">
        <v>6.9</v>
      </c>
      <c r="B140" s="2">
        <v>157.35</v>
      </c>
      <c r="C140" s="2">
        <v>156.71</v>
      </c>
      <c r="D140" s="2">
        <v>156.01</v>
      </c>
      <c r="E140" s="2">
        <v>155.36000000000001</v>
      </c>
    </row>
    <row r="141" spans="1:5" x14ac:dyDescent="0.2">
      <c r="A141" s="2">
        <v>6.95</v>
      </c>
      <c r="B141" s="2">
        <v>158.57</v>
      </c>
      <c r="C141" s="2">
        <v>157.93</v>
      </c>
      <c r="D141" s="2">
        <v>157.22999999999999</v>
      </c>
      <c r="E141" s="2">
        <v>156.59</v>
      </c>
    </row>
    <row r="142" spans="1:5" x14ac:dyDescent="0.2">
      <c r="A142" s="2">
        <v>7</v>
      </c>
      <c r="B142" s="2">
        <v>159.79</v>
      </c>
      <c r="C142" s="2">
        <v>159.15</v>
      </c>
      <c r="D142" s="2">
        <v>158.46</v>
      </c>
      <c r="E142" s="2">
        <v>157.80000000000001</v>
      </c>
    </row>
    <row r="143" spans="1:5" x14ac:dyDescent="0.2">
      <c r="A143" s="2">
        <v>7.05</v>
      </c>
      <c r="B143" s="2">
        <v>161.01</v>
      </c>
      <c r="C143" s="2">
        <v>160.35</v>
      </c>
      <c r="D143" s="2">
        <v>159.68</v>
      </c>
      <c r="E143" s="2">
        <v>159.02000000000001</v>
      </c>
    </row>
    <row r="144" spans="1:5" x14ac:dyDescent="0.2">
      <c r="A144" s="2">
        <v>7.1</v>
      </c>
      <c r="B144" s="2">
        <v>162.22999999999999</v>
      </c>
      <c r="C144" s="2">
        <v>161.57</v>
      </c>
      <c r="D144" s="2">
        <v>160.9</v>
      </c>
      <c r="E144" s="2">
        <v>160.24</v>
      </c>
    </row>
    <row r="145" spans="1:11" x14ac:dyDescent="0.2">
      <c r="A145" s="2">
        <v>7.15</v>
      </c>
      <c r="B145" s="2">
        <v>163.44999999999999</v>
      </c>
      <c r="C145" s="2">
        <v>162.79</v>
      </c>
      <c r="D145" s="2">
        <v>162.12</v>
      </c>
      <c r="E145" s="2">
        <v>161.46</v>
      </c>
    </row>
    <row r="146" spans="1:11" x14ac:dyDescent="0.2">
      <c r="A146" s="2">
        <v>7.2</v>
      </c>
      <c r="B146" s="2">
        <v>164.67</v>
      </c>
      <c r="C146" s="2">
        <v>164.01</v>
      </c>
      <c r="D146" s="2">
        <v>163.34</v>
      </c>
      <c r="E146" s="2">
        <v>162.68</v>
      </c>
    </row>
    <row r="147" spans="1:11" x14ac:dyDescent="0.2">
      <c r="A147" s="2">
        <v>7.25</v>
      </c>
      <c r="B147" s="2">
        <v>165.89</v>
      </c>
      <c r="C147" s="2">
        <v>165.23</v>
      </c>
      <c r="D147" s="2">
        <v>164.56</v>
      </c>
      <c r="E147" s="2">
        <v>163.9</v>
      </c>
    </row>
    <row r="148" spans="1:11" x14ac:dyDescent="0.2">
      <c r="A148" s="2">
        <v>7.3</v>
      </c>
      <c r="B148" s="2">
        <v>167.11</v>
      </c>
      <c r="C148" s="2">
        <v>166.45</v>
      </c>
      <c r="D148" s="2">
        <v>165.78</v>
      </c>
      <c r="E148" s="2">
        <v>165.12</v>
      </c>
    </row>
    <row r="149" spans="1:11" x14ac:dyDescent="0.2">
      <c r="A149" s="2">
        <v>7.35</v>
      </c>
      <c r="B149" s="2">
        <v>168.33</v>
      </c>
      <c r="C149" s="2">
        <v>167.67</v>
      </c>
      <c r="D149" s="2">
        <v>167</v>
      </c>
      <c r="E149" s="2">
        <v>166.34</v>
      </c>
    </row>
    <row r="150" spans="1:11" x14ac:dyDescent="0.2">
      <c r="A150" s="2">
        <v>7.4</v>
      </c>
      <c r="B150" s="2">
        <v>169.55</v>
      </c>
      <c r="C150" s="2">
        <v>168.89</v>
      </c>
      <c r="D150" s="2">
        <v>168.23</v>
      </c>
      <c r="E150" s="2">
        <v>167.56</v>
      </c>
    </row>
    <row r="151" spans="1:11" x14ac:dyDescent="0.2">
      <c r="A151" s="2">
        <v>7.45</v>
      </c>
      <c r="B151" s="2">
        <v>170.77</v>
      </c>
      <c r="C151" s="2">
        <v>170.11</v>
      </c>
      <c r="D151" s="2">
        <v>169.45</v>
      </c>
      <c r="E151" s="2">
        <v>168.78</v>
      </c>
    </row>
    <row r="152" spans="1:11" x14ac:dyDescent="0.2">
      <c r="A152" s="2">
        <v>7.5</v>
      </c>
      <c r="B152" s="2">
        <v>171.99</v>
      </c>
      <c r="C152" s="2">
        <v>171.33</v>
      </c>
      <c r="D152" s="2">
        <v>170.68</v>
      </c>
      <c r="E152" s="2">
        <v>169.99</v>
      </c>
    </row>
    <row r="153" spans="1:11" x14ac:dyDescent="0.2">
      <c r="A153" s="2">
        <v>7.55</v>
      </c>
      <c r="B153" s="2">
        <v>173.21</v>
      </c>
      <c r="C153" s="2">
        <v>172.52</v>
      </c>
      <c r="D153" s="2">
        <v>171.9</v>
      </c>
      <c r="E153" s="2">
        <v>171.22</v>
      </c>
    </row>
    <row r="154" spans="1:11" x14ac:dyDescent="0.2">
      <c r="A154" s="2">
        <v>7.6</v>
      </c>
      <c r="B154" s="2">
        <v>174.43</v>
      </c>
      <c r="C154" s="2">
        <v>173.74</v>
      </c>
      <c r="D154" s="2">
        <v>173.12</v>
      </c>
      <c r="E154" s="2">
        <v>172.44</v>
      </c>
    </row>
    <row r="155" spans="1:11" x14ac:dyDescent="0.2">
      <c r="A155" s="2">
        <v>7.65</v>
      </c>
      <c r="B155" s="2">
        <v>175.65</v>
      </c>
      <c r="C155" s="2">
        <v>174.96</v>
      </c>
      <c r="D155" s="2">
        <v>174.34</v>
      </c>
      <c r="E155" s="2">
        <v>173.66</v>
      </c>
      <c r="K155" s="2"/>
    </row>
    <row r="156" spans="1:11" x14ac:dyDescent="0.2">
      <c r="A156" s="2">
        <v>7.7</v>
      </c>
      <c r="B156" s="2">
        <v>176.87</v>
      </c>
      <c r="C156" s="2">
        <v>176.18</v>
      </c>
      <c r="D156" s="2">
        <v>175.56</v>
      </c>
      <c r="E156" s="2">
        <v>174.88</v>
      </c>
      <c r="K156" s="2"/>
    </row>
    <row r="157" spans="1:11" x14ac:dyDescent="0.2">
      <c r="A157" s="2">
        <v>7.75</v>
      </c>
      <c r="B157" s="2">
        <v>178.09</v>
      </c>
      <c r="C157" s="2">
        <v>177.4</v>
      </c>
      <c r="D157" s="2">
        <v>176.75</v>
      </c>
      <c r="E157" s="2">
        <v>176.11</v>
      </c>
      <c r="K157" s="2"/>
    </row>
    <row r="158" spans="1:11" x14ac:dyDescent="0.2">
      <c r="A158" s="2">
        <v>7.8</v>
      </c>
      <c r="B158" s="2">
        <v>179.31</v>
      </c>
      <c r="C158" s="2">
        <v>178.68</v>
      </c>
      <c r="D158" s="2">
        <v>177.97</v>
      </c>
      <c r="E158" s="2">
        <v>177.33</v>
      </c>
    </row>
    <row r="159" spans="1:11" x14ac:dyDescent="0.2">
      <c r="A159" s="2">
        <v>7.85</v>
      </c>
      <c r="B159" s="2">
        <v>180.53</v>
      </c>
      <c r="C159" s="2">
        <v>179.9</v>
      </c>
      <c r="D159" s="2">
        <v>179.19</v>
      </c>
      <c r="E159" s="2">
        <v>178.55</v>
      </c>
    </row>
    <row r="160" spans="1:11" x14ac:dyDescent="0.2">
      <c r="A160" s="2">
        <v>7.9</v>
      </c>
      <c r="B160" s="2">
        <v>181.75</v>
      </c>
      <c r="C160" s="2">
        <v>181.12</v>
      </c>
      <c r="D160" s="2">
        <v>180.41</v>
      </c>
      <c r="E160" s="2">
        <v>179.77</v>
      </c>
    </row>
    <row r="161" spans="1:11" x14ac:dyDescent="0.2">
      <c r="A161" s="2">
        <v>7.95</v>
      </c>
      <c r="B161" s="2">
        <v>182.97</v>
      </c>
      <c r="C161" s="2">
        <v>182.34</v>
      </c>
      <c r="D161" s="2">
        <v>181.63</v>
      </c>
      <c r="E161" s="2">
        <v>180.99</v>
      </c>
      <c r="K161" s="2"/>
    </row>
    <row r="162" spans="1:11" x14ac:dyDescent="0.2">
      <c r="A162" s="2">
        <v>8</v>
      </c>
      <c r="B162" s="2">
        <v>184.19</v>
      </c>
      <c r="C162" s="2">
        <v>183.56</v>
      </c>
      <c r="D162" s="2">
        <v>182.87</v>
      </c>
      <c r="E162" s="2">
        <v>182.2</v>
      </c>
      <c r="K162" s="2"/>
    </row>
    <row r="163" spans="1:11" x14ac:dyDescent="0.2">
      <c r="A163" s="2">
        <v>8.0500000000000007</v>
      </c>
      <c r="B163" s="2">
        <v>185.41</v>
      </c>
      <c r="C163" s="2">
        <v>184.75</v>
      </c>
      <c r="D163" s="2">
        <v>184.09</v>
      </c>
      <c r="E163" s="2">
        <v>183.42</v>
      </c>
      <c r="K163" s="2"/>
    </row>
    <row r="164" spans="1:11" x14ac:dyDescent="0.2">
      <c r="A164" s="2">
        <v>8.1</v>
      </c>
      <c r="B164" s="2">
        <v>186.63</v>
      </c>
      <c r="C164" s="2">
        <v>185.97</v>
      </c>
      <c r="D164" s="2">
        <v>185.31</v>
      </c>
      <c r="E164" s="2">
        <v>184.64</v>
      </c>
    </row>
    <row r="165" spans="1:11" x14ac:dyDescent="0.2">
      <c r="A165" s="2">
        <v>8.15</v>
      </c>
      <c r="B165" s="2">
        <v>187.85</v>
      </c>
      <c r="C165" s="2">
        <v>187.19</v>
      </c>
      <c r="D165" s="2">
        <v>186.53</v>
      </c>
      <c r="E165" s="2">
        <v>185.86</v>
      </c>
    </row>
    <row r="166" spans="1:11" x14ac:dyDescent="0.2">
      <c r="A166" s="2">
        <v>8.1999999999999993</v>
      </c>
      <c r="B166" s="2">
        <v>189.07</v>
      </c>
      <c r="C166" s="2">
        <v>188.41</v>
      </c>
      <c r="D166" s="2">
        <v>187.75</v>
      </c>
      <c r="E166" s="2">
        <v>187.08</v>
      </c>
    </row>
    <row r="167" spans="1:11" x14ac:dyDescent="0.2">
      <c r="A167" s="2">
        <v>8.25</v>
      </c>
      <c r="B167" s="2">
        <v>190.29</v>
      </c>
      <c r="C167" s="2">
        <v>189.63</v>
      </c>
      <c r="D167" s="2">
        <v>188.97</v>
      </c>
      <c r="E167" s="2">
        <v>188.3</v>
      </c>
    </row>
    <row r="168" spans="1:11" x14ac:dyDescent="0.2">
      <c r="A168" s="2">
        <v>8.3000000000000007</v>
      </c>
      <c r="B168" s="2">
        <v>191.51</v>
      </c>
      <c r="C168" s="2">
        <v>190.85</v>
      </c>
      <c r="D168" s="2">
        <v>190.19</v>
      </c>
      <c r="E168" s="2">
        <v>189.52</v>
      </c>
    </row>
    <row r="169" spans="1:11" x14ac:dyDescent="0.2">
      <c r="A169" s="2">
        <v>8.35</v>
      </c>
      <c r="B169" s="2">
        <v>192.73</v>
      </c>
      <c r="C169" s="2">
        <v>192.07</v>
      </c>
      <c r="D169" s="2">
        <v>191.41</v>
      </c>
      <c r="E169" s="2">
        <v>190.74</v>
      </c>
    </row>
    <row r="170" spans="1:11" x14ac:dyDescent="0.2">
      <c r="A170" s="2">
        <v>8.4</v>
      </c>
      <c r="B170" s="2">
        <v>193.95</v>
      </c>
      <c r="C170" s="2">
        <v>193.29</v>
      </c>
      <c r="D170" s="2">
        <v>192.63</v>
      </c>
      <c r="E170" s="2">
        <v>191.96</v>
      </c>
    </row>
    <row r="171" spans="1:11" x14ac:dyDescent="0.2">
      <c r="A171" s="2">
        <v>8.4499999999999993</v>
      </c>
      <c r="B171" s="2">
        <v>195.17</v>
      </c>
      <c r="C171" s="2">
        <v>194.51</v>
      </c>
      <c r="D171" s="2">
        <v>193.85</v>
      </c>
      <c r="E171" s="2">
        <v>193.19</v>
      </c>
    </row>
    <row r="172" spans="1:11" x14ac:dyDescent="0.2">
      <c r="A172" s="2">
        <v>8.5</v>
      </c>
      <c r="B172" s="2">
        <v>196.4</v>
      </c>
      <c r="C172" s="2">
        <v>195.73</v>
      </c>
      <c r="D172" s="2">
        <v>195.09</v>
      </c>
      <c r="E172" s="2">
        <v>194.4</v>
      </c>
    </row>
    <row r="173" spans="1:11" x14ac:dyDescent="0.2">
      <c r="A173" s="2">
        <v>8.5500000000000007</v>
      </c>
      <c r="B173" s="2">
        <v>197.62</v>
      </c>
      <c r="C173" s="2">
        <v>196.92</v>
      </c>
      <c r="D173" s="2">
        <v>196.31</v>
      </c>
      <c r="E173" s="2">
        <v>195.62</v>
      </c>
    </row>
    <row r="174" spans="1:11" x14ac:dyDescent="0.2">
      <c r="A174" s="2">
        <v>8.6</v>
      </c>
      <c r="B174" s="2">
        <v>198.84</v>
      </c>
      <c r="C174" s="2">
        <v>198.14</v>
      </c>
      <c r="D174" s="2">
        <v>197.53</v>
      </c>
      <c r="E174" s="2">
        <v>196.84</v>
      </c>
    </row>
    <row r="175" spans="1:11" x14ac:dyDescent="0.2">
      <c r="A175" s="2">
        <v>8.65</v>
      </c>
      <c r="B175" s="2">
        <v>200.06</v>
      </c>
      <c r="C175" s="2">
        <v>199.36</v>
      </c>
      <c r="D175" s="2">
        <v>198.75</v>
      </c>
      <c r="E175" s="2">
        <v>198.06</v>
      </c>
    </row>
    <row r="176" spans="1:11" x14ac:dyDescent="0.2">
      <c r="A176" s="2">
        <v>8.6999999999999993</v>
      </c>
      <c r="B176" s="2">
        <v>201.28</v>
      </c>
      <c r="C176" s="2">
        <v>200.58</v>
      </c>
      <c r="D176" s="2">
        <v>199.97</v>
      </c>
      <c r="E176" s="2">
        <v>199.28</v>
      </c>
    </row>
    <row r="177" spans="1:5" x14ac:dyDescent="0.2">
      <c r="A177" s="2">
        <v>8.75</v>
      </c>
      <c r="B177" s="2">
        <v>202.5</v>
      </c>
      <c r="C177" s="2">
        <v>201.8</v>
      </c>
      <c r="D177" s="2">
        <v>201.15</v>
      </c>
      <c r="E177" s="2">
        <v>200.51</v>
      </c>
    </row>
    <row r="178" spans="1:5" x14ac:dyDescent="0.2">
      <c r="A178" s="2">
        <v>8.8000000000000007</v>
      </c>
      <c r="B178" s="2">
        <v>203.72</v>
      </c>
      <c r="C178" s="3">
        <v>203.08</v>
      </c>
      <c r="D178" s="2">
        <v>202.37</v>
      </c>
      <c r="E178" s="2">
        <v>201.73</v>
      </c>
    </row>
    <row r="179" spans="1:5" x14ac:dyDescent="0.2">
      <c r="A179" s="2">
        <v>8.85</v>
      </c>
      <c r="B179" s="2">
        <v>204.94</v>
      </c>
      <c r="C179" s="2">
        <v>204.3</v>
      </c>
      <c r="D179" s="2">
        <v>203.59</v>
      </c>
      <c r="E179" s="2">
        <v>202.95</v>
      </c>
    </row>
    <row r="180" spans="1:5" x14ac:dyDescent="0.2">
      <c r="A180" s="2">
        <v>8.9</v>
      </c>
      <c r="B180" s="2">
        <v>206.16</v>
      </c>
      <c r="C180" s="2">
        <v>205.52</v>
      </c>
      <c r="D180" s="2">
        <v>204.81</v>
      </c>
      <c r="E180" s="2">
        <v>204.17</v>
      </c>
    </row>
    <row r="181" spans="1:5" x14ac:dyDescent="0.2">
      <c r="A181" s="2">
        <v>8.9499999999999993</v>
      </c>
      <c r="B181" s="2">
        <v>207.38</v>
      </c>
      <c r="C181" s="2">
        <v>206.74</v>
      </c>
      <c r="D181" s="2">
        <v>206.03</v>
      </c>
      <c r="E181" s="2">
        <v>205.39</v>
      </c>
    </row>
    <row r="182" spans="1:5" x14ac:dyDescent="0.2">
      <c r="A182" s="2">
        <v>9</v>
      </c>
      <c r="B182" s="2">
        <v>208.6</v>
      </c>
      <c r="C182" s="2">
        <v>207.96</v>
      </c>
      <c r="D182" s="2">
        <v>207.27</v>
      </c>
      <c r="E182" s="2">
        <v>206.61</v>
      </c>
    </row>
    <row r="183" spans="1:5" x14ac:dyDescent="0.2">
      <c r="A183" s="2">
        <v>9.0500000000000007</v>
      </c>
      <c r="B183" s="2">
        <v>209.82</v>
      </c>
      <c r="C183" s="2">
        <v>209.15</v>
      </c>
      <c r="D183" s="2">
        <v>208.49</v>
      </c>
      <c r="E183" s="2">
        <v>207.83</v>
      </c>
    </row>
    <row r="184" spans="1:5" x14ac:dyDescent="0.2">
      <c r="A184" s="2">
        <v>9.1</v>
      </c>
      <c r="B184" s="2">
        <v>211.04</v>
      </c>
      <c r="C184" s="2">
        <v>210.37</v>
      </c>
      <c r="D184" s="2">
        <v>209.71</v>
      </c>
      <c r="E184" s="2">
        <v>209.05</v>
      </c>
    </row>
    <row r="185" spans="1:5" x14ac:dyDescent="0.2">
      <c r="A185" s="2">
        <v>9.15</v>
      </c>
      <c r="B185" s="2">
        <v>212.26</v>
      </c>
      <c r="C185" s="2">
        <v>211.59</v>
      </c>
      <c r="D185" s="2">
        <v>210.93</v>
      </c>
      <c r="E185" s="2">
        <v>210.27</v>
      </c>
    </row>
    <row r="186" spans="1:5" x14ac:dyDescent="0.2">
      <c r="A186" s="2">
        <v>9.1999999999999993</v>
      </c>
      <c r="B186" s="2">
        <v>213.48</v>
      </c>
      <c r="C186" s="2">
        <v>212.81</v>
      </c>
      <c r="D186" s="2">
        <v>212.15</v>
      </c>
      <c r="E186" s="2">
        <v>211.49</v>
      </c>
    </row>
    <row r="187" spans="1:5" x14ac:dyDescent="0.2">
      <c r="A187" s="2">
        <v>9.25</v>
      </c>
      <c r="B187" s="2">
        <v>214.7</v>
      </c>
      <c r="C187" s="2">
        <v>214.03</v>
      </c>
      <c r="D187" s="2">
        <v>213.37</v>
      </c>
      <c r="E187" s="2">
        <v>212.71</v>
      </c>
    </row>
    <row r="188" spans="1:5" x14ac:dyDescent="0.2">
      <c r="A188" s="2">
        <v>9.3000000000000007</v>
      </c>
      <c r="B188" s="2">
        <v>215.92</v>
      </c>
      <c r="C188" s="2">
        <v>215.25</v>
      </c>
      <c r="D188" s="2">
        <v>214.59</v>
      </c>
      <c r="E188" s="2">
        <v>213.93</v>
      </c>
    </row>
    <row r="189" spans="1:5" x14ac:dyDescent="0.2">
      <c r="A189" s="2">
        <v>9.35</v>
      </c>
      <c r="B189" s="2">
        <v>217.14</v>
      </c>
      <c r="C189" s="2">
        <v>216.47</v>
      </c>
      <c r="D189" s="2">
        <v>215.81</v>
      </c>
      <c r="E189" s="2">
        <v>215.15</v>
      </c>
    </row>
    <row r="190" spans="1:5" x14ac:dyDescent="0.2">
      <c r="A190" s="2">
        <v>9.4</v>
      </c>
      <c r="B190" s="2">
        <v>218.36</v>
      </c>
      <c r="C190" s="2">
        <v>217.69</v>
      </c>
      <c r="D190" s="2">
        <v>217.03</v>
      </c>
      <c r="E190" s="2">
        <v>216.37</v>
      </c>
    </row>
    <row r="191" spans="1:5" x14ac:dyDescent="0.2">
      <c r="A191" s="2">
        <v>9.4499999999999993</v>
      </c>
      <c r="B191" s="2">
        <v>219.58</v>
      </c>
      <c r="C191" s="2">
        <v>218.91</v>
      </c>
      <c r="D191" s="2">
        <v>218.25</v>
      </c>
      <c r="E191" s="2">
        <v>217.59</v>
      </c>
    </row>
    <row r="192" spans="1:5" x14ac:dyDescent="0.2">
      <c r="A192" s="2">
        <v>9.5</v>
      </c>
      <c r="B192" s="2">
        <v>220.8</v>
      </c>
      <c r="C192" s="2">
        <v>220.14</v>
      </c>
      <c r="D192" s="2">
        <v>219.5</v>
      </c>
      <c r="E192" s="2">
        <v>218.8</v>
      </c>
    </row>
    <row r="193" spans="1:5" x14ac:dyDescent="0.2">
      <c r="A193" s="2">
        <v>9.5500000000000007</v>
      </c>
      <c r="B193" s="2">
        <v>222.02</v>
      </c>
      <c r="C193" s="2">
        <v>221.32</v>
      </c>
      <c r="D193" s="2">
        <v>220.72</v>
      </c>
      <c r="E193" s="2">
        <v>220.02</v>
      </c>
    </row>
    <row r="194" spans="1:5" x14ac:dyDescent="0.2">
      <c r="A194" s="2">
        <v>9.6</v>
      </c>
      <c r="B194" s="2">
        <v>223.24</v>
      </c>
      <c r="C194" s="2">
        <v>222.54</v>
      </c>
      <c r="D194" s="2">
        <v>221.94</v>
      </c>
      <c r="E194" s="2">
        <v>221.24</v>
      </c>
    </row>
    <row r="195" spans="1:5" x14ac:dyDescent="0.2">
      <c r="A195" s="2">
        <v>9.65</v>
      </c>
      <c r="B195" s="2">
        <v>224.46</v>
      </c>
      <c r="C195" s="2">
        <v>223.76</v>
      </c>
      <c r="D195" s="2">
        <v>223.16</v>
      </c>
      <c r="E195" s="2">
        <v>222.46</v>
      </c>
    </row>
    <row r="196" spans="1:5" x14ac:dyDescent="0.2">
      <c r="A196" s="2">
        <v>9.6999999999999993</v>
      </c>
      <c r="B196" s="2">
        <v>225.68</v>
      </c>
      <c r="C196" s="2">
        <v>224.98</v>
      </c>
      <c r="D196" s="2">
        <v>224.38</v>
      </c>
      <c r="E196" s="2">
        <v>223.68</v>
      </c>
    </row>
    <row r="197" spans="1:5" x14ac:dyDescent="0.2">
      <c r="A197" s="2">
        <v>9.75</v>
      </c>
      <c r="B197" s="2">
        <v>226.9</v>
      </c>
      <c r="C197" s="2">
        <v>226.2</v>
      </c>
      <c r="D197" s="2">
        <v>225.57</v>
      </c>
      <c r="E197" s="2">
        <v>224.91</v>
      </c>
    </row>
    <row r="198" spans="1:5" x14ac:dyDescent="0.2">
      <c r="A198" s="2">
        <v>9.8000000000000007</v>
      </c>
      <c r="B198" s="2">
        <v>228.12</v>
      </c>
      <c r="C198" s="2">
        <v>227.46</v>
      </c>
      <c r="D198" s="2">
        <v>226.79</v>
      </c>
      <c r="E198" s="2">
        <v>226.13</v>
      </c>
    </row>
    <row r="199" spans="1:5" x14ac:dyDescent="0.2">
      <c r="A199" s="2">
        <v>9.85</v>
      </c>
      <c r="B199" s="2">
        <v>229.34</v>
      </c>
      <c r="C199" s="2">
        <v>228.68</v>
      </c>
      <c r="D199" s="2">
        <v>227.97</v>
      </c>
      <c r="E199" s="2">
        <v>227.26</v>
      </c>
    </row>
    <row r="200" spans="1:5" x14ac:dyDescent="0.2">
      <c r="A200" s="2">
        <v>9.9</v>
      </c>
      <c r="B200" s="2">
        <v>230.24</v>
      </c>
      <c r="C200" s="2">
        <v>229.75</v>
      </c>
      <c r="D200" s="2">
        <v>229.09</v>
      </c>
      <c r="E200" s="2">
        <v>228.34</v>
      </c>
    </row>
    <row r="201" spans="1:5" x14ac:dyDescent="0.2">
      <c r="A201" s="2">
        <v>9.9499999999999993</v>
      </c>
      <c r="B201" s="2">
        <v>230.84</v>
      </c>
      <c r="C201" s="2">
        <v>230.47</v>
      </c>
      <c r="D201" s="2">
        <v>229.92</v>
      </c>
      <c r="E201" s="2">
        <v>229.36</v>
      </c>
    </row>
    <row r="202" spans="1:5" x14ac:dyDescent="0.2">
      <c r="A202" s="2">
        <v>10</v>
      </c>
      <c r="B202" s="2">
        <v>230.84</v>
      </c>
      <c r="C202" s="2">
        <v>230.79</v>
      </c>
      <c r="D202" s="2">
        <v>230.53</v>
      </c>
      <c r="E202" s="2">
        <v>230</v>
      </c>
    </row>
    <row r="203" spans="1:5" x14ac:dyDescent="0.2">
      <c r="A203" s="2">
        <v>10.050000000000001</v>
      </c>
      <c r="B203" s="2">
        <v>230.84</v>
      </c>
      <c r="C203" s="2">
        <v>230.84</v>
      </c>
      <c r="D203" s="2">
        <v>230.74</v>
      </c>
      <c r="E203" s="2">
        <v>230.47</v>
      </c>
    </row>
    <row r="204" spans="1:5" x14ac:dyDescent="0.2">
      <c r="A204" s="2">
        <v>10.1</v>
      </c>
      <c r="B204" s="2">
        <v>230.84</v>
      </c>
      <c r="C204" s="2">
        <v>230.84</v>
      </c>
      <c r="D204" s="2">
        <v>230.82</v>
      </c>
      <c r="E204" s="2">
        <v>230.67</v>
      </c>
    </row>
    <row r="205" spans="1:5" x14ac:dyDescent="0.2">
      <c r="A205" s="2">
        <v>10.15</v>
      </c>
      <c r="B205" s="2">
        <v>230.84</v>
      </c>
      <c r="C205" s="2">
        <v>230.84</v>
      </c>
      <c r="D205" s="2">
        <v>230.84</v>
      </c>
      <c r="E205" s="2">
        <v>230.78</v>
      </c>
    </row>
    <row r="206" spans="1:5" x14ac:dyDescent="0.2">
      <c r="A206" s="2">
        <v>10.199999999999999</v>
      </c>
      <c r="B206" s="2">
        <v>230.84</v>
      </c>
      <c r="C206" s="2">
        <v>230.84</v>
      </c>
      <c r="D206" s="2">
        <v>230.84</v>
      </c>
      <c r="E206" s="2">
        <v>230.84</v>
      </c>
    </row>
    <row r="207" spans="1:5" x14ac:dyDescent="0.2">
      <c r="A207" s="2">
        <v>10.25</v>
      </c>
      <c r="B207" s="2">
        <v>230.84</v>
      </c>
      <c r="C207" s="2">
        <v>230.84</v>
      </c>
      <c r="D207" s="2">
        <v>230.84</v>
      </c>
      <c r="E207" s="2">
        <v>230.84</v>
      </c>
    </row>
    <row r="208" spans="1:5" x14ac:dyDescent="0.2">
      <c r="A208" s="2">
        <v>10.3</v>
      </c>
      <c r="B208" s="2">
        <v>230.84</v>
      </c>
      <c r="C208" s="2">
        <v>230.84</v>
      </c>
      <c r="D208" s="2">
        <v>230.84</v>
      </c>
      <c r="E208" s="2">
        <v>230.84</v>
      </c>
    </row>
  </sheetData>
  <sheetProtection sheet="1" objects="1" scenarios="1"/>
  <conditionalFormatting sqref="A1:A65536">
    <cfRule type="expression" dxfId="8" priority="3" stopIfTrue="1">
      <formula>IF(OR($A1=$L$4,$A1=$L$6),TRUE,FALSE)</formula>
    </cfRule>
  </conditionalFormatting>
  <conditionalFormatting sqref="B1:E1">
    <cfRule type="expression" dxfId="7" priority="2" stopIfTrue="1">
      <formula>IF(OR(B$1=$M$3,B$1=$O$3),TRUE,FALSE)</formula>
    </cfRule>
  </conditionalFormatting>
  <conditionalFormatting sqref="B2:F208">
    <cfRule type="expression" dxfId="6" priority="1" stopIfTrue="1">
      <formula>IF(AND(OR($A2=$L$4,$A2=$L$6),OR(B$1=$M$3,B$1=$O$3),OR(B2=$M$4,B2=$M$6,B2=$O$4,B2=$O$6)),TRUE,FALSE)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1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5">
        <v>0.15</v>
      </c>
      <c r="C2" s="5">
        <v>0.15</v>
      </c>
      <c r="D2" s="5">
        <v>0.15</v>
      </c>
      <c r="E2" s="5">
        <v>0.15</v>
      </c>
      <c r="F2" s="5"/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5">
        <v>0.17</v>
      </c>
      <c r="C3" s="5">
        <v>0.17</v>
      </c>
      <c r="D3" s="5">
        <v>0.17</v>
      </c>
      <c r="E3" s="5">
        <v>0.18</v>
      </c>
      <c r="F3" s="5"/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5">
        <v>0.19</v>
      </c>
      <c r="C4" s="5">
        <v>0.2</v>
      </c>
      <c r="D4" s="5">
        <v>0.21</v>
      </c>
      <c r="E4" s="5">
        <v>0.21</v>
      </c>
      <c r="F4" s="5"/>
      <c r="K4" s="2"/>
      <c r="L4" s="2">
        <f>IF(O8=0.05,L5,L5-O8)</f>
        <v>2.25</v>
      </c>
      <c r="M4" s="2">
        <f>VLOOKUP(ROUNDDOWN(L4,2),A:F,MATCH(M3,B1:F1,0)+1,FALSE)</f>
        <v>9.0399999999999991</v>
      </c>
      <c r="N4" s="2">
        <f>IF(($O$3-$M$3)&gt;0,M4+(($N$3-$M$3)*(O4-M4)/($O$3-$M$3)),M4)</f>
        <v>9.1050000000000004</v>
      </c>
      <c r="O4" s="2">
        <f>VLOOKUP(ROUNDDOWN($L$4,2),A:F,MATCH(O$3,B1:F1,0)+1,FALSE)</f>
        <v>9.17</v>
      </c>
    </row>
    <row r="5" spans="1:16" x14ac:dyDescent="0.2">
      <c r="A5" s="2">
        <v>0.15</v>
      </c>
      <c r="B5" s="5">
        <v>0.23</v>
      </c>
      <c r="C5" s="5">
        <v>0.24</v>
      </c>
      <c r="D5" s="5">
        <v>0.25</v>
      </c>
      <c r="E5" s="5">
        <v>0.25</v>
      </c>
      <c r="F5" s="5"/>
      <c r="K5" s="5"/>
      <c r="L5" s="2">
        <f>Before!E22</f>
        <v>2.27</v>
      </c>
      <c r="M5" s="1" t="s">
        <v>1</v>
      </c>
      <c r="N5" s="2">
        <f>IF(($L$6-$L$4)&gt;0,N4+(($L$5-$L$4)*(N6-N4)/0.05),N4)</f>
        <v>9.261000000000001</v>
      </c>
      <c r="O5" s="1" t="s">
        <v>2</v>
      </c>
    </row>
    <row r="6" spans="1:16" x14ac:dyDescent="0.2">
      <c r="A6" s="2">
        <v>0.2</v>
      </c>
      <c r="B6" s="5">
        <v>0.28000000000000003</v>
      </c>
      <c r="C6" s="5">
        <v>0.28000000000000003</v>
      </c>
      <c r="D6" s="5">
        <v>0.28000000000000003</v>
      </c>
      <c r="E6" s="5">
        <v>0.28000000000000003</v>
      </c>
      <c r="F6" s="5"/>
      <c r="K6" s="2"/>
      <c r="L6" s="2">
        <f>IF(OR(O8=0.05,O8=0),L5,L5+(0.05-O8))</f>
        <v>2.2999999999999998</v>
      </c>
      <c r="M6" s="2">
        <f>VLOOKUP(ROUND($L6,2),A:F,MATCH($M$3,B1:F1,0)+1,FALSE)</f>
        <v>9.43</v>
      </c>
      <c r="N6" s="2">
        <f>IF(($O$3-$M$3)&gt;0,M6+(($N$3-$M$3)*(O6-M6)/($O$3-$M$3)),M6)</f>
        <v>9.495000000000001</v>
      </c>
      <c r="O6" s="2">
        <f>VLOOKUP(ROUNDDOWN($L$6,2),A:F,MATCH($O$3,B1:F1,0)+1,FALSE)</f>
        <v>9.56</v>
      </c>
    </row>
    <row r="7" spans="1:16" x14ac:dyDescent="0.2">
      <c r="A7" s="2">
        <v>0.25</v>
      </c>
      <c r="B7" s="5">
        <v>0.32</v>
      </c>
      <c r="C7" s="5">
        <v>0.32</v>
      </c>
      <c r="D7" s="5">
        <v>0.32</v>
      </c>
      <c r="E7" s="5">
        <v>0.32</v>
      </c>
      <c r="F7" s="5"/>
      <c r="K7" s="2"/>
      <c r="L7" s="2"/>
      <c r="M7" s="2"/>
      <c r="N7" s="2"/>
      <c r="O7" s="2"/>
    </row>
    <row r="8" spans="1:16" x14ac:dyDescent="0.2">
      <c r="A8" s="2">
        <v>0.3</v>
      </c>
      <c r="B8" s="5">
        <v>0.36</v>
      </c>
      <c r="C8" s="5">
        <v>0.36</v>
      </c>
      <c r="D8" s="5">
        <v>0.36</v>
      </c>
      <c r="E8" s="5">
        <v>0.38</v>
      </c>
      <c r="F8" s="5"/>
      <c r="K8" s="2"/>
      <c r="L8" s="2"/>
      <c r="M8" s="2">
        <f>(L5-INT(L5))*10</f>
        <v>2.7</v>
      </c>
      <c r="N8" s="2">
        <f>ROUND((M8-INT(M8))*10,5)</f>
        <v>7</v>
      </c>
      <c r="O8" s="2">
        <f>IF(N8&gt;5,(N8-5)/100,N8/100)</f>
        <v>0.02</v>
      </c>
    </row>
    <row r="9" spans="1:16" x14ac:dyDescent="0.2">
      <c r="A9" s="2">
        <v>0.35</v>
      </c>
      <c r="B9" s="5">
        <v>0.41</v>
      </c>
      <c r="C9" s="5">
        <v>0.41</v>
      </c>
      <c r="D9" s="5">
        <v>0.44</v>
      </c>
      <c r="E9" s="5">
        <v>0.45</v>
      </c>
      <c r="F9" s="5"/>
      <c r="K9" s="2"/>
      <c r="L9" s="2"/>
    </row>
    <row r="10" spans="1:16" x14ac:dyDescent="0.2">
      <c r="A10" s="2">
        <v>0.4</v>
      </c>
      <c r="B10" s="5">
        <v>0.47</v>
      </c>
      <c r="C10" s="5">
        <v>0.49</v>
      </c>
      <c r="D10" s="5">
        <v>0.51</v>
      </c>
      <c r="E10" s="5">
        <v>0.53</v>
      </c>
      <c r="F10" s="5"/>
      <c r="K10" s="2"/>
      <c r="L10" s="2"/>
      <c r="M10" s="2"/>
      <c r="N10" s="2"/>
    </row>
    <row r="11" spans="1:16" ht="15" x14ac:dyDescent="0.25">
      <c r="A11" s="2">
        <v>0.45</v>
      </c>
      <c r="B11" s="5">
        <v>0.55000000000000004</v>
      </c>
      <c r="C11" s="5">
        <v>0.56999999999999995</v>
      </c>
      <c r="D11" s="5">
        <v>0.59</v>
      </c>
      <c r="E11" s="5">
        <v>0.6</v>
      </c>
      <c r="F11" s="5"/>
      <c r="K11" s="2"/>
      <c r="L11" s="219"/>
      <c r="M11" s="219">
        <v>0</v>
      </c>
      <c r="N11" s="219">
        <v>1</v>
      </c>
      <c r="O11" s="220">
        <v>2</v>
      </c>
      <c r="P11" s="220">
        <v>3</v>
      </c>
    </row>
    <row r="12" spans="1:16" ht="15" x14ac:dyDescent="0.25">
      <c r="A12" s="2">
        <v>0.5</v>
      </c>
      <c r="B12" s="5">
        <v>0.64</v>
      </c>
      <c r="C12" s="5">
        <v>0.65</v>
      </c>
      <c r="D12" s="5">
        <v>0.66</v>
      </c>
      <c r="E12" s="5">
        <v>0.67</v>
      </c>
      <c r="F12" s="5"/>
      <c r="K12" s="2"/>
      <c r="L12" s="219"/>
      <c r="M12" s="219">
        <f>LOOKUP(N15,B:B,A:A)</f>
        <v>6.05</v>
      </c>
      <c r="N12" s="219">
        <f>LOOKUP($N$15,C:C,$A:$A)</f>
        <v>6</v>
      </c>
      <c r="O12" s="219">
        <f>LOOKUP($N$15,D:D,$A:$A)</f>
        <v>6</v>
      </c>
      <c r="P12" s="219">
        <f>LOOKUP($N$15,E:E,$A:$A)</f>
        <v>6</v>
      </c>
    </row>
    <row r="13" spans="1:16" ht="15" x14ac:dyDescent="0.25">
      <c r="A13" s="2">
        <v>0.55000000000000004</v>
      </c>
      <c r="B13" s="5">
        <v>0.72</v>
      </c>
      <c r="C13" s="5">
        <v>0.73</v>
      </c>
      <c r="D13" s="5">
        <v>0.74</v>
      </c>
      <c r="E13" s="5">
        <v>0.76</v>
      </c>
      <c r="F13" s="5"/>
      <c r="K13" s="2"/>
      <c r="L13" s="219"/>
      <c r="M13" s="219">
        <f>INT(N3)</f>
        <v>2</v>
      </c>
      <c r="N13" s="219">
        <f>Before!O8</f>
        <v>2</v>
      </c>
      <c r="O13" s="219">
        <f>IF(M3=N3,N3,M3+1)</f>
        <v>3</v>
      </c>
      <c r="P13"/>
    </row>
    <row r="14" spans="1:16" ht="15" x14ac:dyDescent="0.25">
      <c r="A14" s="2">
        <v>0.6</v>
      </c>
      <c r="B14" s="5">
        <v>0.8</v>
      </c>
      <c r="C14" s="5">
        <v>0.81</v>
      </c>
      <c r="D14" s="5">
        <v>0.84</v>
      </c>
      <c r="E14" s="5">
        <v>0.87</v>
      </c>
      <c r="F14" s="5"/>
      <c r="K14" s="2"/>
      <c r="L14" s="219">
        <f>HLOOKUP(M$13,$M$11:$P$12,2,FALSE)</f>
        <v>6</v>
      </c>
      <c r="M14" s="219">
        <f>VLOOKUP(ROUNDDOWN(L14,2),A:F,MATCH(M13,B1:F1,0)+1,FALSE)</f>
        <v>44.71</v>
      </c>
      <c r="N14" s="219">
        <f>IF(($O$13-$M$13)&gt;0,M14+(($N$13-$M$13)*(O14-M14)/($O$13-$M$13)),M14)</f>
        <v>44.71</v>
      </c>
      <c r="O14" s="219">
        <f>VLOOKUP(ROUNDDOWN(P14,2),A:F,MATCH(O$13,B1:F1,0)+1,FALSE)</f>
        <v>44.89</v>
      </c>
      <c r="P14">
        <f>HLOOKUP(O$13,$M$11:$P$12,2,FALSE)</f>
        <v>6</v>
      </c>
    </row>
    <row r="15" spans="1:16" ht="15" x14ac:dyDescent="0.25">
      <c r="A15" s="2">
        <v>0.65</v>
      </c>
      <c r="B15" s="5">
        <v>0.89</v>
      </c>
      <c r="C15" s="5">
        <v>0.92</v>
      </c>
      <c r="D15" s="5">
        <v>0.95</v>
      </c>
      <c r="E15" s="5">
        <v>0.98</v>
      </c>
      <c r="F15" s="5"/>
      <c r="L15" s="219">
        <f>L14+((N15-N14)*ABS(L16-L14))/(N16-N14)</f>
        <v>6.0298192828533281</v>
      </c>
      <c r="M15" s="222" t="s">
        <v>97</v>
      </c>
      <c r="N15" s="219">
        <f>Before!M22</f>
        <v>45.002228971962616</v>
      </c>
      <c r="O15" s="222" t="s">
        <v>98</v>
      </c>
      <c r="P15"/>
    </row>
    <row r="16" spans="1:16" ht="15" x14ac:dyDescent="0.25">
      <c r="A16" s="2">
        <v>0.7</v>
      </c>
      <c r="B16" s="5">
        <v>1.01</v>
      </c>
      <c r="C16" s="5">
        <v>1.04</v>
      </c>
      <c r="D16" s="5">
        <v>1.07</v>
      </c>
      <c r="E16" s="5">
        <v>1.0900000000000001</v>
      </c>
      <c r="F16" s="5"/>
      <c r="L16" s="219">
        <f>IF(N15&gt;M14,L14+0.05,L14-0.05)</f>
        <v>6.05</v>
      </c>
      <c r="M16" s="219">
        <f>VLOOKUP(ROUNDDOWN(L16,2),A:F,MATCH(M13,B1:F1,0)+1,FALSE)</f>
        <v>45.2</v>
      </c>
      <c r="N16" s="219">
        <f>IF(($O$13-$M$13)&gt;0,M16+(($N$13-$M$13)*(O16-M16)/($O$13-$M$13)),M16)</f>
        <v>45.2</v>
      </c>
      <c r="O16" s="219">
        <f>VLOOKUP(ROUNDDOWN(P16,2),A:F,MATCH(O$13,B1:F1,0)+1,FALSE)</f>
        <v>45.37</v>
      </c>
      <c r="P16" s="219">
        <f>IF(N15&gt;O14,P14+0.05,P14-0.05)</f>
        <v>6.05</v>
      </c>
    </row>
    <row r="17" spans="1:15" x14ac:dyDescent="0.2">
      <c r="A17" s="2">
        <v>0.75</v>
      </c>
      <c r="B17" s="5">
        <v>1.1299999999999999</v>
      </c>
      <c r="C17" s="5">
        <v>1.1599999999999999</v>
      </c>
      <c r="D17" s="5">
        <v>1.18</v>
      </c>
      <c r="E17" s="5">
        <v>1.2</v>
      </c>
      <c r="F17" s="5"/>
    </row>
    <row r="18" spans="1:15" x14ac:dyDescent="0.2">
      <c r="A18" s="2">
        <v>0.8</v>
      </c>
      <c r="B18" s="5">
        <v>1.25</v>
      </c>
      <c r="C18" s="5">
        <v>1.28</v>
      </c>
      <c r="D18" s="5">
        <v>1.3</v>
      </c>
      <c r="E18" s="5">
        <v>1.32</v>
      </c>
      <c r="F18" s="5"/>
    </row>
    <row r="19" spans="1:15" x14ac:dyDescent="0.2">
      <c r="A19" s="2">
        <v>0.85</v>
      </c>
      <c r="B19" s="5">
        <v>1.37</v>
      </c>
      <c r="C19" s="5">
        <v>1.39</v>
      </c>
      <c r="D19" s="5">
        <v>1.42</v>
      </c>
      <c r="E19" s="5">
        <v>1.47</v>
      </c>
      <c r="F19" s="5"/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5">
        <v>1.49</v>
      </c>
      <c r="C20" s="5">
        <v>1.53</v>
      </c>
      <c r="D20" s="5">
        <v>1.58</v>
      </c>
      <c r="E20" s="5">
        <v>1.62</v>
      </c>
      <c r="F20" s="5"/>
      <c r="L20" s="2">
        <f>IF(O24=0.05,L21,L21-O24)</f>
        <v>6.05</v>
      </c>
      <c r="M20" s="2">
        <f>VLOOKUP(ROUNDDOWN(L20,2),A:F,MATCH(M19,B1:F1,0)+1,FALSE)</f>
        <v>45.2</v>
      </c>
      <c r="N20" s="2">
        <f>IF(($O$19-$M$19)&gt;0,M20+(($N$19-$M$19)*(O20-M20)/($O$19-$M$19)),M20)</f>
        <v>45.2</v>
      </c>
      <c r="O20" s="2">
        <f>VLOOKUP(ROUNDDOWN($L$20,2),A:F,MATCH(O$19,B1:F1,0)+1,FALSE)</f>
        <v>45.2</v>
      </c>
    </row>
    <row r="21" spans="1:15" x14ac:dyDescent="0.2">
      <c r="A21" s="2">
        <v>0.95</v>
      </c>
      <c r="B21" s="5">
        <v>1.64</v>
      </c>
      <c r="C21" s="5">
        <v>1.69</v>
      </c>
      <c r="D21" s="5">
        <v>1.74</v>
      </c>
      <c r="E21" s="5">
        <v>1.78</v>
      </c>
      <c r="F21" s="5"/>
      <c r="L21" s="2">
        <f>After!L16</f>
        <v>6.05</v>
      </c>
      <c r="M21" s="1" t="s">
        <v>1</v>
      </c>
      <c r="N21" s="2">
        <f>IF(($L$22-$L$20)&gt;0,N20+(($L$21-$L$20)*(N22-N20)/0.05),N20)</f>
        <v>45.2</v>
      </c>
      <c r="O21" s="1" t="s">
        <v>2</v>
      </c>
    </row>
    <row r="22" spans="1:15" x14ac:dyDescent="0.2">
      <c r="A22" s="2">
        <v>1</v>
      </c>
      <c r="B22" s="5">
        <v>1.81</v>
      </c>
      <c r="C22" s="5">
        <v>1.85</v>
      </c>
      <c r="D22" s="5">
        <v>1.9</v>
      </c>
      <c r="E22" s="5">
        <v>1.93</v>
      </c>
      <c r="F22" s="5"/>
      <c r="L22" s="2">
        <f>IF(OR(O24=0.05,O24=0),L21,L21+(0.05-O24))</f>
        <v>6.05</v>
      </c>
      <c r="M22" s="2">
        <f>VLOOKUP(ROUND($L22,2),A:F,MATCH($M$19,B1:F1,0)+1,FALSE)</f>
        <v>45.2</v>
      </c>
      <c r="N22" s="2">
        <f>IF(($O$19-$M$19)&gt;0,M22+(($N$19-$M$19)*(O22-M22)/($O$3-$M$19)),M22)</f>
        <v>45.2</v>
      </c>
      <c r="O22" s="2">
        <f>VLOOKUP(ROUNDDOWN($L$22,2),A:F,MATCH($O$19,B1:F1,0)+1,FALSE)</f>
        <v>45.2</v>
      </c>
    </row>
    <row r="23" spans="1:15" x14ac:dyDescent="0.2">
      <c r="A23" s="2">
        <v>1.05</v>
      </c>
      <c r="B23" s="5">
        <v>1.97</v>
      </c>
      <c r="C23" s="5">
        <v>2.02</v>
      </c>
      <c r="D23" s="5">
        <v>2.06</v>
      </c>
      <c r="E23" s="5">
        <v>2.09</v>
      </c>
      <c r="F23" s="5"/>
      <c r="L23" s="2"/>
      <c r="M23" s="2"/>
      <c r="N23" s="2"/>
      <c r="O23" s="2"/>
    </row>
    <row r="24" spans="1:15" x14ac:dyDescent="0.2">
      <c r="A24" s="2">
        <v>1.1000000000000001</v>
      </c>
      <c r="B24" s="5">
        <v>2.14</v>
      </c>
      <c r="C24" s="5">
        <v>2.1800000000000002</v>
      </c>
      <c r="D24" s="5">
        <v>2.2200000000000002</v>
      </c>
      <c r="E24" s="5">
        <v>2.2799999999999998</v>
      </c>
      <c r="F24" s="5"/>
      <c r="L24" s="2"/>
      <c r="M24" s="2">
        <f>(L21-INT(L21))*10</f>
        <v>0.49999999999999822</v>
      </c>
      <c r="N24" s="2">
        <f>ROUND((M24-INT(M24))*10,5)</f>
        <v>5</v>
      </c>
      <c r="O24" s="2">
        <f>IF(N24&gt;5,(N24-5)/100,N24/100)</f>
        <v>0.05</v>
      </c>
    </row>
    <row r="25" spans="1:15" x14ac:dyDescent="0.2">
      <c r="A25" s="2">
        <v>1.1499999999999999</v>
      </c>
      <c r="B25" s="5">
        <v>2.31</v>
      </c>
      <c r="C25" s="5">
        <v>2.35</v>
      </c>
      <c r="D25" s="5">
        <v>2.42</v>
      </c>
      <c r="E25" s="5">
        <v>2.48</v>
      </c>
      <c r="F25" s="5"/>
    </row>
    <row r="26" spans="1:15" x14ac:dyDescent="0.2">
      <c r="A26" s="2">
        <v>1.2</v>
      </c>
      <c r="B26" s="5">
        <v>2.4900000000000002</v>
      </c>
      <c r="C26" s="5">
        <v>2.56</v>
      </c>
      <c r="D26" s="5">
        <v>2.62</v>
      </c>
      <c r="E26" s="5">
        <v>2.68</v>
      </c>
      <c r="F26" s="5"/>
    </row>
    <row r="27" spans="1:15" x14ac:dyDescent="0.2">
      <c r="A27" s="2">
        <v>1.25</v>
      </c>
      <c r="B27" s="5">
        <v>2.7</v>
      </c>
      <c r="C27" s="5">
        <v>2.77</v>
      </c>
      <c r="D27" s="5">
        <v>2.83</v>
      </c>
      <c r="E27" s="5">
        <v>2.88</v>
      </c>
      <c r="F27" s="5"/>
    </row>
    <row r="28" spans="1:15" x14ac:dyDescent="0.2">
      <c r="A28" s="2">
        <v>1.3</v>
      </c>
      <c r="B28" s="5">
        <v>2.91</v>
      </c>
      <c r="C28" s="5">
        <v>2.97</v>
      </c>
      <c r="D28" s="5">
        <v>3.03</v>
      </c>
      <c r="E28" s="5">
        <v>3.09</v>
      </c>
      <c r="F28" s="5"/>
    </row>
    <row r="29" spans="1:15" x14ac:dyDescent="0.2">
      <c r="A29" s="2">
        <v>1.35</v>
      </c>
      <c r="B29" s="5">
        <v>3.13</v>
      </c>
      <c r="C29" s="5">
        <v>3.18</v>
      </c>
      <c r="D29" s="5">
        <v>3.24</v>
      </c>
      <c r="E29" s="5">
        <v>3.32</v>
      </c>
      <c r="F29" s="5"/>
    </row>
    <row r="30" spans="1:15" x14ac:dyDescent="0.2">
      <c r="A30" s="2">
        <v>1.4</v>
      </c>
      <c r="B30" s="5">
        <v>3.34</v>
      </c>
      <c r="C30" s="5">
        <v>3.4</v>
      </c>
      <c r="D30" s="5">
        <v>3.48</v>
      </c>
      <c r="E30" s="5">
        <v>3.57</v>
      </c>
      <c r="F30" s="5"/>
    </row>
    <row r="31" spans="1:15" x14ac:dyDescent="0.2">
      <c r="A31" s="2">
        <v>1.45</v>
      </c>
      <c r="B31" s="5">
        <v>3.57</v>
      </c>
      <c r="C31" s="5">
        <v>3.66</v>
      </c>
      <c r="D31" s="5">
        <v>3.74</v>
      </c>
      <c r="E31" s="5">
        <v>3.82</v>
      </c>
      <c r="F31" s="5"/>
    </row>
    <row r="32" spans="1:15" x14ac:dyDescent="0.2">
      <c r="A32" s="2">
        <v>1.5</v>
      </c>
      <c r="B32" s="5">
        <v>3.85</v>
      </c>
      <c r="C32" s="5">
        <v>3.93</v>
      </c>
      <c r="D32" s="5">
        <v>4.01</v>
      </c>
      <c r="E32" s="5">
        <v>4.08</v>
      </c>
      <c r="F32" s="5"/>
      <c r="K32" s="2"/>
      <c r="L32" s="2"/>
    </row>
    <row r="33" spans="1:12" x14ac:dyDescent="0.2">
      <c r="A33" s="2">
        <v>1.55</v>
      </c>
      <c r="B33" s="5">
        <v>4.12</v>
      </c>
      <c r="C33" s="5">
        <v>4.2</v>
      </c>
      <c r="D33" s="5">
        <v>4.2699999999999996</v>
      </c>
      <c r="E33" s="5">
        <v>4.3499999999999996</v>
      </c>
      <c r="F33" s="5"/>
      <c r="K33" s="2"/>
      <c r="L33" s="2"/>
    </row>
    <row r="34" spans="1:12" x14ac:dyDescent="0.2">
      <c r="A34" s="2">
        <v>1.6</v>
      </c>
      <c r="B34" s="5">
        <v>4.3899999999999997</v>
      </c>
      <c r="C34" s="5">
        <v>4.47</v>
      </c>
      <c r="D34" s="5">
        <v>4.54</v>
      </c>
      <c r="E34" s="5">
        <v>4.63</v>
      </c>
      <c r="F34" s="5"/>
      <c r="K34" s="2"/>
      <c r="L34" s="2"/>
    </row>
    <row r="35" spans="1:12" x14ac:dyDescent="0.2">
      <c r="A35" s="2">
        <v>1.65</v>
      </c>
      <c r="B35" s="5">
        <v>4.66</v>
      </c>
      <c r="C35" s="5">
        <v>4.74</v>
      </c>
      <c r="D35" s="5">
        <v>4.84</v>
      </c>
      <c r="E35" s="5">
        <v>4.9400000000000004</v>
      </c>
      <c r="F35" s="5"/>
      <c r="K35" s="2"/>
      <c r="L35" s="2"/>
    </row>
    <row r="36" spans="1:12" x14ac:dyDescent="0.2">
      <c r="A36" s="2">
        <v>1.7</v>
      </c>
      <c r="B36" s="5">
        <v>4.95</v>
      </c>
      <c r="C36" s="5">
        <v>5.05</v>
      </c>
      <c r="D36" s="5">
        <v>5.16</v>
      </c>
      <c r="E36" s="5">
        <v>5.25</v>
      </c>
      <c r="F36" s="5"/>
      <c r="K36" s="2"/>
      <c r="L36" s="2"/>
    </row>
    <row r="37" spans="1:12" x14ac:dyDescent="0.2">
      <c r="A37" s="2">
        <v>1.75</v>
      </c>
      <c r="B37" s="5">
        <v>5.27</v>
      </c>
      <c r="C37" s="5">
        <v>5.37</v>
      </c>
      <c r="D37" s="5">
        <v>5.47</v>
      </c>
      <c r="E37" s="5">
        <v>5.56</v>
      </c>
      <c r="F37" s="5"/>
      <c r="K37" s="2"/>
      <c r="L37" s="2"/>
    </row>
    <row r="38" spans="1:12" x14ac:dyDescent="0.2">
      <c r="A38" s="2">
        <v>1.8</v>
      </c>
      <c r="B38" s="5">
        <v>5.59</v>
      </c>
      <c r="C38" s="5">
        <v>5.68</v>
      </c>
      <c r="D38" s="5">
        <v>5.78</v>
      </c>
      <c r="E38" s="5">
        <v>5.87</v>
      </c>
      <c r="F38" s="5"/>
      <c r="K38" s="2"/>
      <c r="L38" s="2"/>
    </row>
    <row r="39" spans="1:12" x14ac:dyDescent="0.2">
      <c r="A39" s="2">
        <v>1.85</v>
      </c>
      <c r="B39" s="5">
        <v>5.91</v>
      </c>
      <c r="C39" s="5">
        <v>6</v>
      </c>
      <c r="D39" s="5">
        <v>6.09</v>
      </c>
      <c r="E39" s="5">
        <v>6.21</v>
      </c>
      <c r="F39" s="5"/>
      <c r="K39" s="2"/>
      <c r="L39" s="2"/>
    </row>
    <row r="40" spans="1:12" x14ac:dyDescent="0.2">
      <c r="A40" s="2">
        <v>1.9</v>
      </c>
      <c r="B40" s="5">
        <v>6.23</v>
      </c>
      <c r="C40" s="5">
        <v>6.32</v>
      </c>
      <c r="D40" s="5">
        <v>6.44</v>
      </c>
      <c r="E40" s="5">
        <v>6.56</v>
      </c>
      <c r="F40" s="5"/>
      <c r="K40" s="2"/>
      <c r="L40" s="2"/>
    </row>
    <row r="41" spans="1:12" x14ac:dyDescent="0.2">
      <c r="A41" s="2">
        <v>1.95</v>
      </c>
      <c r="B41" s="5">
        <v>6.56</v>
      </c>
      <c r="C41" s="5">
        <v>6.68</v>
      </c>
      <c r="D41" s="5">
        <v>6.8</v>
      </c>
      <c r="E41" s="5">
        <v>6.91</v>
      </c>
      <c r="F41" s="5"/>
      <c r="K41" s="2"/>
      <c r="L41" s="2"/>
    </row>
    <row r="42" spans="1:12" x14ac:dyDescent="0.2">
      <c r="A42" s="2">
        <v>2</v>
      </c>
      <c r="B42" s="5">
        <v>6.92</v>
      </c>
      <c r="C42" s="5">
        <v>7.04</v>
      </c>
      <c r="D42" s="5">
        <v>7.15</v>
      </c>
      <c r="E42" s="5">
        <v>7.27</v>
      </c>
      <c r="F42" s="5"/>
      <c r="K42" s="2"/>
      <c r="L42" s="2"/>
    </row>
    <row r="43" spans="1:12" x14ac:dyDescent="0.2">
      <c r="A43" s="2">
        <v>2.0499999999999998</v>
      </c>
      <c r="B43" s="5">
        <v>7.28</v>
      </c>
      <c r="C43" s="5">
        <v>7.4</v>
      </c>
      <c r="D43" s="5">
        <v>7.51</v>
      </c>
      <c r="E43" s="5">
        <v>7.62</v>
      </c>
      <c r="F43" s="5"/>
      <c r="K43" s="2"/>
      <c r="L43" s="2"/>
    </row>
    <row r="44" spans="1:12" x14ac:dyDescent="0.2">
      <c r="A44" s="2">
        <v>2.1</v>
      </c>
      <c r="B44" s="5">
        <v>7.64</v>
      </c>
      <c r="C44" s="5">
        <v>7.76</v>
      </c>
      <c r="D44" s="5">
        <v>7.86</v>
      </c>
      <c r="E44" s="5">
        <v>7.99</v>
      </c>
      <c r="F44" s="5"/>
      <c r="K44" s="2"/>
      <c r="L44" s="2"/>
    </row>
    <row r="45" spans="1:12" x14ac:dyDescent="0.2">
      <c r="A45" s="2">
        <v>2.15</v>
      </c>
      <c r="B45" s="5">
        <v>8</v>
      </c>
      <c r="C45" s="5">
        <v>8.1199999999999992</v>
      </c>
      <c r="D45" s="5">
        <v>8.25</v>
      </c>
      <c r="E45" s="5">
        <v>8.3800000000000008</v>
      </c>
      <c r="F45" s="5"/>
      <c r="K45" s="2"/>
      <c r="L45" s="2"/>
    </row>
    <row r="46" spans="1:12" x14ac:dyDescent="0.2">
      <c r="A46" s="2">
        <v>2.2000000000000002</v>
      </c>
      <c r="B46" s="5">
        <v>8.3800000000000008</v>
      </c>
      <c r="C46" s="5">
        <v>8.51</v>
      </c>
      <c r="D46" s="5">
        <v>8.65</v>
      </c>
      <c r="E46" s="5">
        <v>8.77</v>
      </c>
      <c r="F46" s="5"/>
      <c r="K46" s="2"/>
      <c r="L46" s="2"/>
    </row>
    <row r="47" spans="1:12" x14ac:dyDescent="0.2">
      <c r="A47" s="2">
        <v>2.25</v>
      </c>
      <c r="B47" s="5">
        <v>8.7799999999999994</v>
      </c>
      <c r="C47" s="5">
        <v>8.91</v>
      </c>
      <c r="D47" s="5">
        <v>9.0399999999999991</v>
      </c>
      <c r="E47" s="5">
        <v>9.17</v>
      </c>
      <c r="F47" s="5"/>
      <c r="K47" s="2"/>
      <c r="L47" s="2"/>
    </row>
    <row r="48" spans="1:12" x14ac:dyDescent="0.2">
      <c r="A48" s="2">
        <v>2.2999999999999998</v>
      </c>
      <c r="B48" s="5">
        <v>9.17</v>
      </c>
      <c r="C48" s="5">
        <v>9.3000000000000007</v>
      </c>
      <c r="D48" s="5">
        <v>9.43</v>
      </c>
      <c r="E48" s="5">
        <v>9.56</v>
      </c>
      <c r="F48" s="5"/>
      <c r="K48" s="2"/>
      <c r="L48" s="2"/>
    </row>
    <row r="49" spans="1:12" x14ac:dyDescent="0.2">
      <c r="A49" s="2">
        <v>2.35</v>
      </c>
      <c r="B49" s="5">
        <v>9.57</v>
      </c>
      <c r="C49" s="5">
        <v>9.6999999999999993</v>
      </c>
      <c r="D49" s="5">
        <v>9.83</v>
      </c>
      <c r="E49" s="5">
        <v>9.9700000000000006</v>
      </c>
      <c r="F49" s="5"/>
      <c r="K49" s="2"/>
      <c r="L49" s="2"/>
    </row>
    <row r="50" spans="1:12" x14ac:dyDescent="0.2">
      <c r="A50" s="2">
        <v>2.4</v>
      </c>
      <c r="B50" s="5">
        <v>9.9700000000000006</v>
      </c>
      <c r="C50" s="5">
        <v>10.1</v>
      </c>
      <c r="D50" s="5">
        <v>10.24</v>
      </c>
      <c r="E50" s="5">
        <v>10.39</v>
      </c>
      <c r="F50" s="5"/>
      <c r="K50" s="2"/>
      <c r="L50" s="2"/>
    </row>
    <row r="51" spans="1:12" x14ac:dyDescent="0.2">
      <c r="A51" s="2">
        <v>2.4500000000000002</v>
      </c>
      <c r="B51" s="5">
        <v>10.38</v>
      </c>
      <c r="C51" s="5">
        <v>10.53</v>
      </c>
      <c r="D51" s="5">
        <v>10.67</v>
      </c>
      <c r="E51" s="5">
        <v>10.81</v>
      </c>
      <c r="F51" s="5"/>
    </row>
    <row r="52" spans="1:12" x14ac:dyDescent="0.2">
      <c r="A52" s="2">
        <v>2.5</v>
      </c>
      <c r="B52" s="5">
        <v>10.81</v>
      </c>
      <c r="C52" s="5">
        <v>10.95</v>
      </c>
      <c r="D52" s="5">
        <v>11.1</v>
      </c>
      <c r="E52" s="5">
        <v>11.24</v>
      </c>
      <c r="F52" s="5"/>
    </row>
    <row r="53" spans="1:12" x14ac:dyDescent="0.2">
      <c r="A53" s="2">
        <v>2.5499999999999998</v>
      </c>
      <c r="B53" s="5">
        <v>11.24</v>
      </c>
      <c r="C53" s="5">
        <v>11.38</v>
      </c>
      <c r="D53" s="5">
        <v>11.52</v>
      </c>
      <c r="E53" s="5">
        <v>11.66</v>
      </c>
      <c r="F53" s="5"/>
    </row>
    <row r="54" spans="1:12" x14ac:dyDescent="0.2">
      <c r="A54" s="2">
        <v>2.6</v>
      </c>
      <c r="B54" s="5">
        <v>11.66</v>
      </c>
      <c r="C54" s="5">
        <v>11.81</v>
      </c>
      <c r="D54" s="5">
        <v>11.95</v>
      </c>
      <c r="E54" s="5">
        <v>12.1</v>
      </c>
      <c r="F54" s="5"/>
    </row>
    <row r="55" spans="1:12" x14ac:dyDescent="0.2">
      <c r="A55" s="2">
        <v>2.65</v>
      </c>
      <c r="B55" s="5">
        <v>12.09</v>
      </c>
      <c r="C55" s="5">
        <v>12.23</v>
      </c>
      <c r="D55" s="5">
        <v>12.39</v>
      </c>
      <c r="E55" s="5">
        <v>12.54</v>
      </c>
      <c r="F55" s="5"/>
    </row>
    <row r="56" spans="1:12" x14ac:dyDescent="0.2">
      <c r="A56" s="2">
        <v>2.7</v>
      </c>
      <c r="B56" s="5">
        <v>12.53</v>
      </c>
      <c r="C56" s="5">
        <v>12.68</v>
      </c>
      <c r="D56" s="5">
        <v>12.84</v>
      </c>
      <c r="E56" s="5">
        <v>12.99</v>
      </c>
      <c r="F56" s="5"/>
    </row>
    <row r="57" spans="1:12" x14ac:dyDescent="0.2">
      <c r="A57" s="2">
        <v>2.75</v>
      </c>
      <c r="B57" s="5">
        <v>12.98</v>
      </c>
      <c r="C57" s="5">
        <v>13.13</v>
      </c>
      <c r="D57" s="5">
        <v>13.29</v>
      </c>
      <c r="E57" s="5">
        <v>13.43</v>
      </c>
      <c r="F57" s="5"/>
    </row>
    <row r="58" spans="1:12" x14ac:dyDescent="0.2">
      <c r="A58" s="2">
        <v>2.8</v>
      </c>
      <c r="B58" s="5">
        <v>13.43</v>
      </c>
      <c r="C58" s="5">
        <v>13.58</v>
      </c>
      <c r="D58" s="5">
        <v>13.73</v>
      </c>
      <c r="E58" s="5">
        <v>13.88</v>
      </c>
      <c r="F58" s="5"/>
    </row>
    <row r="59" spans="1:12" x14ac:dyDescent="0.2">
      <c r="A59" s="2">
        <v>2.85</v>
      </c>
      <c r="B59" s="5">
        <v>13.88</v>
      </c>
      <c r="C59" s="5">
        <v>14.03</v>
      </c>
      <c r="D59" s="5">
        <v>14.18</v>
      </c>
      <c r="E59" s="5">
        <v>14.34</v>
      </c>
      <c r="F59" s="5"/>
    </row>
    <row r="60" spans="1:12" x14ac:dyDescent="0.2">
      <c r="A60" s="2">
        <v>2.9</v>
      </c>
      <c r="B60" s="5">
        <v>14.33</v>
      </c>
      <c r="C60" s="5">
        <v>14.48</v>
      </c>
      <c r="D60" s="5">
        <v>14.64</v>
      </c>
      <c r="E60" s="5">
        <v>14.8</v>
      </c>
      <c r="F60" s="5"/>
    </row>
    <row r="61" spans="1:12" x14ac:dyDescent="0.2">
      <c r="A61" s="2">
        <v>2.95</v>
      </c>
      <c r="B61" s="5">
        <v>14.79</v>
      </c>
      <c r="C61" s="5">
        <v>14.95</v>
      </c>
      <c r="D61" s="5">
        <v>15.11</v>
      </c>
      <c r="E61" s="5">
        <v>15.27</v>
      </c>
      <c r="F61" s="5"/>
    </row>
    <row r="62" spans="1:12" x14ac:dyDescent="0.2">
      <c r="A62" s="2">
        <v>3</v>
      </c>
      <c r="B62" s="5">
        <v>15.25</v>
      </c>
      <c r="C62" s="5">
        <v>15.41</v>
      </c>
      <c r="D62" s="5">
        <v>15.57</v>
      </c>
      <c r="E62" s="5">
        <v>15.73</v>
      </c>
      <c r="F62" s="5"/>
    </row>
    <row r="63" spans="1:12" x14ac:dyDescent="0.2">
      <c r="A63" s="2">
        <v>3.05</v>
      </c>
      <c r="B63" s="5">
        <v>15.72</v>
      </c>
      <c r="C63" s="5">
        <v>15.88</v>
      </c>
      <c r="D63" s="5">
        <v>16.03</v>
      </c>
      <c r="E63" s="5">
        <v>16.2</v>
      </c>
      <c r="F63" s="5"/>
    </row>
    <row r="64" spans="1:12" x14ac:dyDescent="0.2">
      <c r="A64" s="2">
        <v>3.1</v>
      </c>
      <c r="B64" s="5">
        <v>16.18</v>
      </c>
      <c r="C64" s="5">
        <v>16.350000000000001</v>
      </c>
      <c r="D64" s="5">
        <v>16.5</v>
      </c>
      <c r="E64" s="5">
        <v>16.66</v>
      </c>
      <c r="F64" s="5"/>
    </row>
    <row r="65" spans="1:6" x14ac:dyDescent="0.2">
      <c r="A65" s="2">
        <v>3.15</v>
      </c>
      <c r="B65" s="5">
        <v>16.649999999999999</v>
      </c>
      <c r="C65" s="5">
        <v>16.809999999999999</v>
      </c>
      <c r="D65" s="5">
        <v>16.97</v>
      </c>
      <c r="E65" s="5">
        <v>17.14</v>
      </c>
      <c r="F65" s="5"/>
    </row>
    <row r="66" spans="1:6" x14ac:dyDescent="0.2">
      <c r="A66" s="2">
        <v>3.2</v>
      </c>
      <c r="B66" s="5">
        <v>17.12</v>
      </c>
      <c r="C66" s="5">
        <v>17.28</v>
      </c>
      <c r="D66" s="5">
        <v>17.45</v>
      </c>
      <c r="E66" s="5">
        <v>17.61</v>
      </c>
      <c r="F66" s="5"/>
    </row>
    <row r="67" spans="1:6" x14ac:dyDescent="0.2">
      <c r="A67" s="2">
        <v>3.25</v>
      </c>
      <c r="B67" s="5">
        <v>17.59</v>
      </c>
      <c r="C67" s="5">
        <v>17.760000000000002</v>
      </c>
      <c r="D67" s="5">
        <v>17.920000000000002</v>
      </c>
      <c r="E67" s="5">
        <v>18.079999999999998</v>
      </c>
      <c r="F67" s="5"/>
    </row>
    <row r="68" spans="1:6" x14ac:dyDescent="0.2">
      <c r="A68" s="2">
        <v>3.3</v>
      </c>
      <c r="B68" s="5">
        <v>18.07</v>
      </c>
      <c r="C68" s="5">
        <v>18.23</v>
      </c>
      <c r="D68" s="5">
        <v>18.399999999999999</v>
      </c>
      <c r="E68" s="5">
        <v>18.559999999999999</v>
      </c>
      <c r="F68" s="5"/>
    </row>
    <row r="69" spans="1:6" x14ac:dyDescent="0.2">
      <c r="A69" s="2">
        <v>3.35</v>
      </c>
      <c r="B69" s="5">
        <v>18.54</v>
      </c>
      <c r="C69" s="5">
        <v>18.71</v>
      </c>
      <c r="D69" s="5">
        <v>18.87</v>
      </c>
      <c r="E69" s="5">
        <v>19.03</v>
      </c>
      <c r="F69" s="5"/>
    </row>
    <row r="70" spans="1:6" x14ac:dyDescent="0.2">
      <c r="A70" s="2">
        <v>3.4</v>
      </c>
      <c r="B70" s="5">
        <v>19.02</v>
      </c>
      <c r="C70" s="5">
        <v>19.18</v>
      </c>
      <c r="D70" s="5">
        <v>19.350000000000001</v>
      </c>
      <c r="E70" s="5">
        <v>19.52</v>
      </c>
      <c r="F70" s="5"/>
    </row>
    <row r="71" spans="1:6" x14ac:dyDescent="0.2">
      <c r="A71" s="2">
        <v>3.45</v>
      </c>
      <c r="B71" s="5">
        <v>19.5</v>
      </c>
      <c r="C71" s="5">
        <v>19.66</v>
      </c>
      <c r="D71" s="5">
        <v>19.829999999999998</v>
      </c>
      <c r="E71" s="5">
        <v>20</v>
      </c>
      <c r="F71" s="5"/>
    </row>
    <row r="72" spans="1:6" x14ac:dyDescent="0.2">
      <c r="A72" s="2">
        <v>3.5</v>
      </c>
      <c r="B72" s="5">
        <v>19.98</v>
      </c>
      <c r="C72" s="5">
        <v>20.14</v>
      </c>
      <c r="D72" s="5">
        <v>20.309999999999999</v>
      </c>
      <c r="E72" s="5">
        <v>20.48</v>
      </c>
      <c r="F72" s="5"/>
    </row>
    <row r="73" spans="1:6" x14ac:dyDescent="0.2">
      <c r="A73" s="2">
        <v>3.55</v>
      </c>
      <c r="B73" s="5">
        <v>20.46</v>
      </c>
      <c r="C73" s="5">
        <v>20.62</v>
      </c>
      <c r="D73" s="5">
        <v>20.79</v>
      </c>
      <c r="E73" s="5">
        <v>20.96</v>
      </c>
      <c r="F73" s="5"/>
    </row>
    <row r="74" spans="1:6" x14ac:dyDescent="0.2">
      <c r="A74" s="2">
        <v>3.6</v>
      </c>
      <c r="B74" s="5">
        <v>20.94</v>
      </c>
      <c r="C74" s="5">
        <v>21.1</v>
      </c>
      <c r="D74" s="5">
        <v>21.27</v>
      </c>
      <c r="E74" s="5">
        <v>21.44</v>
      </c>
      <c r="F74" s="5"/>
    </row>
    <row r="75" spans="1:6" x14ac:dyDescent="0.2">
      <c r="A75" s="2">
        <v>3.65</v>
      </c>
      <c r="B75" s="5">
        <v>21.42</v>
      </c>
      <c r="C75" s="5">
        <v>21.58</v>
      </c>
      <c r="D75" s="5">
        <v>21.76</v>
      </c>
      <c r="E75" s="5">
        <v>21.92</v>
      </c>
      <c r="F75" s="5"/>
    </row>
    <row r="76" spans="1:6" x14ac:dyDescent="0.2">
      <c r="A76" s="2">
        <v>3.7</v>
      </c>
      <c r="B76" s="5">
        <v>21.9</v>
      </c>
      <c r="C76" s="5">
        <v>22.07</v>
      </c>
      <c r="D76" s="5">
        <v>22.24</v>
      </c>
      <c r="E76" s="5">
        <v>22.41</v>
      </c>
      <c r="F76" s="5"/>
    </row>
    <row r="77" spans="1:6" x14ac:dyDescent="0.2">
      <c r="A77" s="2">
        <v>3.75</v>
      </c>
      <c r="B77" s="5">
        <v>22.39</v>
      </c>
      <c r="C77" s="5">
        <v>22.55</v>
      </c>
      <c r="D77" s="5">
        <v>22.73</v>
      </c>
      <c r="E77" s="5">
        <v>22.89</v>
      </c>
      <c r="F77" s="5"/>
    </row>
    <row r="78" spans="1:6" x14ac:dyDescent="0.2">
      <c r="A78" s="2">
        <v>3.8</v>
      </c>
      <c r="B78" s="5">
        <v>22.87</v>
      </c>
      <c r="C78" s="5">
        <v>23.04</v>
      </c>
      <c r="D78" s="5">
        <v>23.21</v>
      </c>
      <c r="E78" s="5">
        <v>23.38</v>
      </c>
      <c r="F78" s="5"/>
    </row>
    <row r="79" spans="1:6" x14ac:dyDescent="0.2">
      <c r="A79" s="2">
        <v>3.85</v>
      </c>
      <c r="B79" s="5">
        <v>23.36</v>
      </c>
      <c r="C79" s="5">
        <v>23.52</v>
      </c>
      <c r="D79" s="5">
        <v>23.7</v>
      </c>
      <c r="E79" s="5">
        <v>23.86</v>
      </c>
      <c r="F79" s="5"/>
    </row>
    <row r="80" spans="1:6" x14ac:dyDescent="0.2">
      <c r="A80" s="2">
        <v>3.9</v>
      </c>
      <c r="B80" s="5">
        <v>23.84</v>
      </c>
      <c r="C80" s="5">
        <v>24.01</v>
      </c>
      <c r="D80" s="5">
        <v>24.18</v>
      </c>
      <c r="E80" s="5">
        <v>24.35</v>
      </c>
      <c r="F80" s="5"/>
    </row>
    <row r="81" spans="1:6" x14ac:dyDescent="0.2">
      <c r="A81" s="2">
        <v>3.95</v>
      </c>
      <c r="B81" s="5">
        <v>24.33</v>
      </c>
      <c r="C81" s="5">
        <v>24.5</v>
      </c>
      <c r="D81" s="5">
        <v>24.66</v>
      </c>
      <c r="E81" s="5">
        <v>24.84</v>
      </c>
      <c r="F81" s="5"/>
    </row>
    <row r="82" spans="1:6" x14ac:dyDescent="0.2">
      <c r="A82" s="2">
        <v>4</v>
      </c>
      <c r="B82" s="5">
        <v>24.81</v>
      </c>
      <c r="C82" s="5">
        <v>24.99</v>
      </c>
      <c r="D82" s="5">
        <v>25.15</v>
      </c>
      <c r="E82" s="5">
        <v>25.32</v>
      </c>
      <c r="F82" s="5"/>
    </row>
    <row r="83" spans="1:6" x14ac:dyDescent="0.2">
      <c r="A83" s="2">
        <v>4.05</v>
      </c>
      <c r="B83" s="5">
        <v>25.3</v>
      </c>
      <c r="C83" s="5">
        <v>25.47</v>
      </c>
      <c r="D83" s="5">
        <v>25.64</v>
      </c>
      <c r="E83" s="5">
        <v>25.81</v>
      </c>
      <c r="F83" s="5"/>
    </row>
    <row r="84" spans="1:6" x14ac:dyDescent="0.2">
      <c r="A84" s="2">
        <v>4.0999999999999996</v>
      </c>
      <c r="B84" s="5">
        <v>25.79</v>
      </c>
      <c r="C84" s="5">
        <v>25.96</v>
      </c>
      <c r="D84" s="5">
        <v>26.13</v>
      </c>
      <c r="E84" s="5">
        <v>26.3</v>
      </c>
      <c r="F84" s="5"/>
    </row>
    <row r="85" spans="1:6" x14ac:dyDescent="0.2">
      <c r="A85" s="2">
        <v>4.1500000000000004</v>
      </c>
      <c r="B85" s="5">
        <v>26.27</v>
      </c>
      <c r="C85" s="5">
        <v>26.45</v>
      </c>
      <c r="D85" s="5">
        <v>26.62</v>
      </c>
      <c r="E85" s="5">
        <v>26.79</v>
      </c>
      <c r="F85" s="5"/>
    </row>
    <row r="86" spans="1:6" x14ac:dyDescent="0.2">
      <c r="A86" s="2">
        <v>4.2</v>
      </c>
      <c r="B86" s="5">
        <v>26.76</v>
      </c>
      <c r="C86" s="5">
        <v>26.93</v>
      </c>
      <c r="D86" s="5">
        <v>27.1</v>
      </c>
      <c r="E86" s="5">
        <v>27.27</v>
      </c>
      <c r="F86" s="5"/>
    </row>
    <row r="87" spans="1:6" x14ac:dyDescent="0.2">
      <c r="A87" s="2">
        <v>4.25</v>
      </c>
      <c r="B87" s="5">
        <v>27.25</v>
      </c>
      <c r="C87" s="5">
        <v>27.42</v>
      </c>
      <c r="D87" s="5">
        <v>27.59</v>
      </c>
      <c r="E87" s="5">
        <v>27.76</v>
      </c>
      <c r="F87" s="5"/>
    </row>
    <row r="88" spans="1:6" x14ac:dyDescent="0.2">
      <c r="A88" s="2">
        <v>4.3</v>
      </c>
      <c r="B88" s="5">
        <v>27.74</v>
      </c>
      <c r="C88" s="5">
        <v>27.91</v>
      </c>
      <c r="D88" s="5">
        <v>28.08</v>
      </c>
      <c r="E88" s="5">
        <v>28.25</v>
      </c>
      <c r="F88" s="5"/>
    </row>
    <row r="89" spans="1:6" x14ac:dyDescent="0.2">
      <c r="A89" s="2">
        <v>4.3499999999999996</v>
      </c>
      <c r="B89" s="5">
        <v>28.23</v>
      </c>
      <c r="C89" s="5">
        <v>28.4</v>
      </c>
      <c r="D89" s="5">
        <v>28.57</v>
      </c>
      <c r="E89" s="5">
        <v>28.74</v>
      </c>
      <c r="F89" s="5"/>
    </row>
    <row r="90" spans="1:6" x14ac:dyDescent="0.2">
      <c r="A90" s="2">
        <v>4.4000000000000004</v>
      </c>
      <c r="B90" s="5">
        <v>28.72</v>
      </c>
      <c r="C90" s="5">
        <v>28.89</v>
      </c>
      <c r="D90" s="5">
        <v>29.06</v>
      </c>
      <c r="E90" s="5">
        <v>29.23</v>
      </c>
      <c r="F90" s="5"/>
    </row>
    <row r="91" spans="1:6" x14ac:dyDescent="0.2">
      <c r="A91" s="2">
        <v>4.45</v>
      </c>
      <c r="B91" s="5">
        <v>29.21</v>
      </c>
      <c r="C91" s="5">
        <v>29.38</v>
      </c>
      <c r="D91" s="5">
        <v>29.55</v>
      </c>
      <c r="E91" s="5">
        <v>29.72</v>
      </c>
      <c r="F91" s="5"/>
    </row>
    <row r="92" spans="1:6" x14ac:dyDescent="0.2">
      <c r="A92" s="2">
        <v>4.5</v>
      </c>
      <c r="B92" s="5">
        <v>29.7</v>
      </c>
      <c r="C92" s="5">
        <v>29.87</v>
      </c>
      <c r="D92" s="5">
        <v>30.04</v>
      </c>
      <c r="E92" s="5">
        <v>30.21</v>
      </c>
      <c r="F92" s="5"/>
    </row>
    <row r="93" spans="1:6" x14ac:dyDescent="0.2">
      <c r="A93" s="2">
        <v>4.55</v>
      </c>
      <c r="B93" s="5">
        <v>330.18</v>
      </c>
      <c r="C93" s="5">
        <v>30.36</v>
      </c>
      <c r="D93" s="5">
        <v>30.53</v>
      </c>
      <c r="E93" s="5">
        <v>30.7</v>
      </c>
      <c r="F93" s="5"/>
    </row>
    <row r="94" spans="1:6" x14ac:dyDescent="0.2">
      <c r="A94" s="2">
        <v>4.5999999999999996</v>
      </c>
      <c r="B94" s="5">
        <v>30.67</v>
      </c>
      <c r="C94" s="5">
        <v>30.84</v>
      </c>
      <c r="D94" s="5">
        <v>31.02</v>
      </c>
      <c r="E94" s="5">
        <v>31.18</v>
      </c>
      <c r="F94" s="5"/>
    </row>
    <row r="95" spans="1:6" x14ac:dyDescent="0.2">
      <c r="A95" s="2">
        <v>4.6500000000000004</v>
      </c>
      <c r="B95" s="5">
        <v>31.16</v>
      </c>
      <c r="C95" s="5">
        <v>31.33</v>
      </c>
      <c r="D95" s="5">
        <v>31.51</v>
      </c>
      <c r="E95" s="5">
        <v>31.67</v>
      </c>
      <c r="F95" s="5"/>
    </row>
    <row r="96" spans="1:6" x14ac:dyDescent="0.2">
      <c r="A96" s="2">
        <v>4.7</v>
      </c>
      <c r="B96" s="5">
        <v>31.65</v>
      </c>
      <c r="C96" s="5">
        <v>31.82</v>
      </c>
      <c r="D96" s="5">
        <v>32</v>
      </c>
      <c r="E96" s="5">
        <v>32.159999999999997</v>
      </c>
      <c r="F96" s="5"/>
    </row>
    <row r="97" spans="1:6" x14ac:dyDescent="0.2">
      <c r="A97" s="2">
        <v>4.75</v>
      </c>
      <c r="B97" s="5">
        <v>32.14</v>
      </c>
      <c r="C97" s="5">
        <v>32.31</v>
      </c>
      <c r="D97" s="5">
        <v>32.49</v>
      </c>
      <c r="E97" s="5">
        <v>32.65</v>
      </c>
      <c r="F97" s="5"/>
    </row>
    <row r="98" spans="1:6" x14ac:dyDescent="0.2">
      <c r="A98" s="2">
        <v>4.8</v>
      </c>
      <c r="B98" s="5">
        <v>32.630000000000003</v>
      </c>
      <c r="C98" s="5">
        <v>32.799999999999997</v>
      </c>
      <c r="D98" s="5">
        <v>32.979999999999997</v>
      </c>
      <c r="E98" s="5">
        <v>33.14</v>
      </c>
      <c r="F98" s="5"/>
    </row>
    <row r="99" spans="1:6" x14ac:dyDescent="0.2">
      <c r="A99" s="2">
        <v>4.8499999999999996</v>
      </c>
      <c r="B99" s="5">
        <v>33.119999999999997</v>
      </c>
      <c r="C99" s="5">
        <v>33.29</v>
      </c>
      <c r="D99" s="5">
        <v>33.47</v>
      </c>
      <c r="E99" s="5">
        <v>33.630000000000003</v>
      </c>
      <c r="F99" s="5"/>
    </row>
    <row r="100" spans="1:6" x14ac:dyDescent="0.2">
      <c r="A100" s="2">
        <v>4.9000000000000004</v>
      </c>
      <c r="B100" s="5">
        <v>33.61</v>
      </c>
      <c r="C100" s="5">
        <v>33.78</v>
      </c>
      <c r="D100" s="5">
        <v>33.950000000000003</v>
      </c>
      <c r="E100" s="5">
        <v>34.119999999999997</v>
      </c>
      <c r="F100" s="5"/>
    </row>
    <row r="101" spans="1:6" x14ac:dyDescent="0.2">
      <c r="A101" s="2">
        <v>4.95</v>
      </c>
      <c r="B101" s="5">
        <v>34.1</v>
      </c>
      <c r="C101" s="5">
        <v>34.270000000000003</v>
      </c>
      <c r="D101" s="5">
        <v>34.44</v>
      </c>
      <c r="E101" s="5">
        <v>34.159999999999997</v>
      </c>
      <c r="F101" s="5"/>
    </row>
    <row r="102" spans="1:6" x14ac:dyDescent="0.2">
      <c r="A102" s="2">
        <v>5</v>
      </c>
      <c r="B102" s="5">
        <v>34.590000000000003</v>
      </c>
      <c r="C102" s="5">
        <v>34.76</v>
      </c>
      <c r="D102" s="5">
        <v>34.92</v>
      </c>
      <c r="E102" s="5">
        <v>35.1</v>
      </c>
      <c r="F102" s="5"/>
    </row>
    <row r="103" spans="1:6" x14ac:dyDescent="0.2">
      <c r="A103" s="2">
        <v>5.05</v>
      </c>
      <c r="B103" s="5">
        <v>35.08</v>
      </c>
      <c r="C103" s="5">
        <v>35.25</v>
      </c>
      <c r="D103" s="5">
        <v>35.409999999999997</v>
      </c>
      <c r="E103" s="5">
        <v>35.590000000000003</v>
      </c>
      <c r="F103" s="5"/>
    </row>
    <row r="104" spans="1:6" x14ac:dyDescent="0.2">
      <c r="A104" s="2">
        <v>5.0999999999999996</v>
      </c>
      <c r="B104" s="5">
        <v>35.56</v>
      </c>
      <c r="C104" s="5">
        <v>35.74</v>
      </c>
      <c r="D104" s="5">
        <v>35.9</v>
      </c>
      <c r="E104" s="5">
        <v>36.08</v>
      </c>
      <c r="F104" s="5"/>
    </row>
    <row r="105" spans="1:6" x14ac:dyDescent="0.2">
      <c r="A105" s="2">
        <v>5.15</v>
      </c>
      <c r="B105" s="5">
        <v>36.049999999999997</v>
      </c>
      <c r="C105" s="5">
        <v>36.229999999999997</v>
      </c>
      <c r="D105" s="5">
        <v>36.4</v>
      </c>
      <c r="E105" s="5">
        <v>36.57</v>
      </c>
      <c r="F105" s="5"/>
    </row>
    <row r="106" spans="1:6" x14ac:dyDescent="0.2">
      <c r="A106" s="2">
        <v>5.2</v>
      </c>
      <c r="B106" s="5">
        <v>36.54</v>
      </c>
      <c r="C106" s="5">
        <v>36.71</v>
      </c>
      <c r="D106" s="5">
        <v>36.89</v>
      </c>
      <c r="E106" s="5">
        <v>37.06</v>
      </c>
      <c r="F106" s="5"/>
    </row>
    <row r="107" spans="1:6" x14ac:dyDescent="0.2">
      <c r="A107" s="2">
        <v>5.25</v>
      </c>
      <c r="B107" s="5">
        <v>37.03</v>
      </c>
      <c r="C107" s="5">
        <v>37.200000000000003</v>
      </c>
      <c r="D107" s="5">
        <v>37.369999999999997</v>
      </c>
      <c r="E107" s="5">
        <v>37.549999999999997</v>
      </c>
      <c r="F107" s="5"/>
    </row>
    <row r="108" spans="1:6" x14ac:dyDescent="0.2">
      <c r="A108" s="2">
        <v>5.3</v>
      </c>
      <c r="B108" s="5">
        <v>37.520000000000003</v>
      </c>
      <c r="C108" s="5">
        <v>37.69</v>
      </c>
      <c r="D108" s="5">
        <v>37.86</v>
      </c>
      <c r="E108" s="5">
        <v>38.03</v>
      </c>
      <c r="F108" s="5"/>
    </row>
    <row r="109" spans="1:6" x14ac:dyDescent="0.2">
      <c r="A109" s="2">
        <v>5.35</v>
      </c>
      <c r="B109" s="5">
        <v>38.01</v>
      </c>
      <c r="C109" s="5">
        <v>38.18</v>
      </c>
      <c r="D109" s="5">
        <v>38.35</v>
      </c>
      <c r="E109" s="5">
        <v>38.520000000000003</v>
      </c>
      <c r="F109" s="5"/>
    </row>
    <row r="110" spans="1:6" x14ac:dyDescent="0.2">
      <c r="A110" s="2">
        <v>5.4</v>
      </c>
      <c r="B110" s="5">
        <v>38.5</v>
      </c>
      <c r="C110" s="5">
        <v>38.67</v>
      </c>
      <c r="D110" s="5">
        <v>38.840000000000003</v>
      </c>
      <c r="E110" s="5">
        <v>39.01</v>
      </c>
      <c r="F110" s="5"/>
    </row>
    <row r="111" spans="1:6" x14ac:dyDescent="0.2">
      <c r="A111" s="2">
        <v>5.45</v>
      </c>
      <c r="B111" s="5">
        <v>38.99</v>
      </c>
      <c r="C111" s="5">
        <v>39.159999999999997</v>
      </c>
      <c r="D111" s="5">
        <v>39.33</v>
      </c>
      <c r="E111" s="5">
        <v>39.5</v>
      </c>
      <c r="F111" s="5"/>
    </row>
    <row r="112" spans="1:6" x14ac:dyDescent="0.2">
      <c r="A112" s="2">
        <v>5.5</v>
      </c>
      <c r="B112" s="5">
        <v>39.479999999999997</v>
      </c>
      <c r="C112" s="5">
        <v>39.65</v>
      </c>
      <c r="D112" s="5">
        <v>39.82</v>
      </c>
      <c r="E112" s="5">
        <v>39.99</v>
      </c>
      <c r="F112" s="5"/>
    </row>
    <row r="113" spans="1:6" x14ac:dyDescent="0.2">
      <c r="A113" s="2">
        <v>5.55</v>
      </c>
      <c r="B113" s="5">
        <v>39.97</v>
      </c>
      <c r="C113" s="5">
        <v>40.14</v>
      </c>
      <c r="D113" s="5">
        <v>40.31</v>
      </c>
      <c r="E113" s="5">
        <v>40.479999999999997</v>
      </c>
      <c r="F113" s="5"/>
    </row>
    <row r="114" spans="1:6" x14ac:dyDescent="0.2">
      <c r="A114" s="2">
        <v>5.6</v>
      </c>
      <c r="B114" s="5">
        <v>40.46</v>
      </c>
      <c r="C114" s="5">
        <v>40.630000000000003</v>
      </c>
      <c r="D114" s="5">
        <v>40.799999999999997</v>
      </c>
      <c r="E114" s="5">
        <v>40.97</v>
      </c>
      <c r="F114" s="5"/>
    </row>
    <row r="115" spans="1:6" x14ac:dyDescent="0.2">
      <c r="A115" s="2">
        <v>5.65</v>
      </c>
      <c r="B115" s="5">
        <v>40.950000000000003</v>
      </c>
      <c r="C115" s="5">
        <v>41.11</v>
      </c>
      <c r="D115" s="5">
        <v>41.29</v>
      </c>
      <c r="E115" s="5">
        <v>41.46</v>
      </c>
      <c r="F115" s="5"/>
    </row>
    <row r="116" spans="1:6" x14ac:dyDescent="0.2">
      <c r="A116" s="2">
        <v>5.7</v>
      </c>
      <c r="B116" s="5">
        <v>41.44</v>
      </c>
      <c r="C116" s="5">
        <v>41.6</v>
      </c>
      <c r="D116" s="5">
        <v>41.78</v>
      </c>
      <c r="E116" s="5">
        <v>41.95</v>
      </c>
      <c r="F116" s="5"/>
    </row>
    <row r="117" spans="1:6" x14ac:dyDescent="0.2">
      <c r="A117" s="2">
        <v>5.75</v>
      </c>
      <c r="B117" s="5">
        <v>41.93</v>
      </c>
      <c r="C117" s="5">
        <v>42.09</v>
      </c>
      <c r="D117" s="5">
        <v>42.27</v>
      </c>
      <c r="E117" s="5">
        <v>42.44</v>
      </c>
      <c r="F117" s="5"/>
    </row>
    <row r="118" spans="1:6" x14ac:dyDescent="0.2">
      <c r="A118" s="2">
        <v>5.8</v>
      </c>
      <c r="B118" s="5">
        <v>42.42</v>
      </c>
      <c r="C118" s="5">
        <v>42.58</v>
      </c>
      <c r="D118" s="5">
        <v>42.76</v>
      </c>
      <c r="E118" s="5">
        <v>42.93</v>
      </c>
      <c r="F118" s="5"/>
    </row>
    <row r="119" spans="1:6" x14ac:dyDescent="0.2">
      <c r="A119" s="2">
        <v>5.85</v>
      </c>
      <c r="B119" s="5">
        <v>42.91</v>
      </c>
      <c r="C119" s="5">
        <v>43.07</v>
      </c>
      <c r="D119" s="5">
        <v>43.25</v>
      </c>
      <c r="E119" s="5">
        <v>43.42</v>
      </c>
      <c r="F119" s="5"/>
    </row>
    <row r="120" spans="1:6" x14ac:dyDescent="0.2">
      <c r="A120" s="2">
        <v>5.9</v>
      </c>
      <c r="B120" s="5">
        <v>43.39</v>
      </c>
      <c r="C120" s="5">
        <v>43.57</v>
      </c>
      <c r="D120" s="5">
        <v>43.73</v>
      </c>
      <c r="E120" s="5">
        <v>43.91</v>
      </c>
      <c r="F120" s="5"/>
    </row>
    <row r="121" spans="1:6" x14ac:dyDescent="0.2">
      <c r="A121" s="2">
        <v>5.95</v>
      </c>
      <c r="B121" s="5">
        <v>43.88</v>
      </c>
      <c r="C121" s="5">
        <v>44.06</v>
      </c>
      <c r="D121" s="5">
        <v>44.22</v>
      </c>
      <c r="E121" s="5">
        <v>44.4</v>
      </c>
      <c r="F121" s="5"/>
    </row>
    <row r="122" spans="1:6" x14ac:dyDescent="0.2">
      <c r="A122" s="2">
        <v>6</v>
      </c>
      <c r="B122" s="5">
        <v>44.37</v>
      </c>
      <c r="C122" s="5">
        <v>44.55</v>
      </c>
      <c r="D122" s="5">
        <v>44.71</v>
      </c>
      <c r="E122" s="5">
        <v>44.89</v>
      </c>
      <c r="F122" s="5"/>
    </row>
    <row r="123" spans="1:6" x14ac:dyDescent="0.2">
      <c r="A123" s="2">
        <v>6.05</v>
      </c>
      <c r="B123" s="5">
        <v>44.86</v>
      </c>
      <c r="C123" s="5">
        <v>45.04</v>
      </c>
      <c r="D123" s="5">
        <v>45.2</v>
      </c>
      <c r="E123" s="5">
        <v>45.37</v>
      </c>
      <c r="F123" s="5"/>
    </row>
    <row r="124" spans="1:6" x14ac:dyDescent="0.2">
      <c r="A124" s="2">
        <v>6.1</v>
      </c>
      <c r="B124" s="5">
        <v>45.35</v>
      </c>
      <c r="C124" s="5">
        <v>45.53</v>
      </c>
      <c r="D124" s="5">
        <v>45.69</v>
      </c>
      <c r="E124" s="5">
        <v>45.86</v>
      </c>
      <c r="F124" s="5"/>
    </row>
    <row r="125" spans="1:6" x14ac:dyDescent="0.2">
      <c r="A125" s="2">
        <v>6.15</v>
      </c>
      <c r="B125" s="5">
        <v>45.84</v>
      </c>
      <c r="C125" s="5">
        <v>46.01</v>
      </c>
      <c r="D125" s="5">
        <v>46.18</v>
      </c>
      <c r="E125" s="5">
        <v>46.35</v>
      </c>
      <c r="F125" s="5"/>
    </row>
    <row r="126" spans="1:6" x14ac:dyDescent="0.2">
      <c r="A126" s="2">
        <v>6.2</v>
      </c>
      <c r="B126" s="5">
        <v>46.33</v>
      </c>
      <c r="C126" s="5">
        <v>46.5</v>
      </c>
      <c r="D126" s="5">
        <v>46.67</v>
      </c>
      <c r="E126" s="5">
        <v>46.84</v>
      </c>
      <c r="F126" s="5"/>
    </row>
    <row r="127" spans="1:6" x14ac:dyDescent="0.2">
      <c r="A127" s="2">
        <v>6.25</v>
      </c>
      <c r="B127" s="5">
        <v>46.82</v>
      </c>
      <c r="C127" s="5">
        <v>46.99</v>
      </c>
      <c r="D127" s="5">
        <v>47.16</v>
      </c>
      <c r="E127" s="5">
        <v>47.33</v>
      </c>
      <c r="F127" s="5"/>
    </row>
    <row r="128" spans="1:6" x14ac:dyDescent="0.2">
      <c r="A128" s="2">
        <v>6.3</v>
      </c>
      <c r="B128" s="5">
        <v>47.31</v>
      </c>
      <c r="C128" s="5">
        <v>47.48</v>
      </c>
      <c r="D128" s="5">
        <v>47.65</v>
      </c>
      <c r="E128" s="5">
        <v>47.82</v>
      </c>
      <c r="F128" s="5"/>
    </row>
    <row r="129" spans="1:6" x14ac:dyDescent="0.2">
      <c r="A129" s="2">
        <v>6.35</v>
      </c>
      <c r="B129" s="5">
        <v>47.8</v>
      </c>
      <c r="C129" s="5">
        <v>47.97</v>
      </c>
      <c r="D129" s="5">
        <v>48.14</v>
      </c>
      <c r="E129" s="5">
        <v>48.31</v>
      </c>
      <c r="F129" s="5"/>
    </row>
    <row r="130" spans="1:6" x14ac:dyDescent="0.2">
      <c r="A130" s="2">
        <v>6.4</v>
      </c>
      <c r="B130" s="5">
        <v>48.28</v>
      </c>
      <c r="C130" s="5">
        <v>48.46</v>
      </c>
      <c r="D130" s="5">
        <v>48.63</v>
      </c>
      <c r="E130" s="5">
        <v>48.8</v>
      </c>
      <c r="F130" s="5"/>
    </row>
    <row r="131" spans="1:6" x14ac:dyDescent="0.2">
      <c r="A131" s="2">
        <v>6.45</v>
      </c>
      <c r="B131" s="5">
        <v>48.77</v>
      </c>
      <c r="C131" s="5">
        <v>48.94</v>
      </c>
      <c r="D131" s="5">
        <v>49.12</v>
      </c>
      <c r="E131" s="5">
        <v>49.29</v>
      </c>
      <c r="F131" s="5"/>
    </row>
    <row r="132" spans="1:6" x14ac:dyDescent="0.2">
      <c r="A132" s="2">
        <v>6.5</v>
      </c>
      <c r="B132" s="5">
        <v>49.26</v>
      </c>
      <c r="C132" s="5">
        <v>49.43</v>
      </c>
      <c r="D132" s="5">
        <v>49.6</v>
      </c>
      <c r="E132" s="5">
        <v>49.78</v>
      </c>
      <c r="F132" s="5"/>
    </row>
    <row r="133" spans="1:6" x14ac:dyDescent="0.2">
      <c r="A133" s="2">
        <v>6.55</v>
      </c>
      <c r="B133" s="5">
        <v>49.75</v>
      </c>
      <c r="C133" s="5">
        <v>49.92</v>
      </c>
      <c r="D133" s="5">
        <v>50.09</v>
      </c>
      <c r="E133" s="5">
        <v>50.26</v>
      </c>
      <c r="F133" s="5"/>
    </row>
    <row r="134" spans="1:6" x14ac:dyDescent="0.2">
      <c r="A134" s="2">
        <v>6.6</v>
      </c>
      <c r="B134" s="5">
        <v>50.24</v>
      </c>
      <c r="C134" s="5">
        <v>50.41</v>
      </c>
      <c r="D134" s="5">
        <v>50.58</v>
      </c>
      <c r="E134" s="2">
        <v>50.75</v>
      </c>
      <c r="F134" s="5"/>
    </row>
    <row r="135" spans="1:6" x14ac:dyDescent="0.2">
      <c r="A135" s="2">
        <v>6.65</v>
      </c>
      <c r="B135" s="5">
        <v>50.73</v>
      </c>
      <c r="C135" s="5">
        <v>50.9</v>
      </c>
      <c r="D135" s="5">
        <v>51.08</v>
      </c>
      <c r="E135" s="5">
        <v>51.24</v>
      </c>
      <c r="F135" s="5"/>
    </row>
    <row r="136" spans="1:6" x14ac:dyDescent="0.2">
      <c r="A136" s="2">
        <v>6.7</v>
      </c>
      <c r="B136" s="5">
        <v>51.22</v>
      </c>
      <c r="C136" s="5">
        <v>51.38</v>
      </c>
      <c r="D136" s="5">
        <v>51.57</v>
      </c>
      <c r="E136" s="5">
        <v>51.73</v>
      </c>
      <c r="F136" s="5"/>
    </row>
    <row r="137" spans="1:6" x14ac:dyDescent="0.2">
      <c r="A137" s="2">
        <v>6.75</v>
      </c>
      <c r="B137" s="5">
        <v>51.71</v>
      </c>
      <c r="C137" s="5">
        <v>51.87</v>
      </c>
      <c r="D137" s="5">
        <v>52.06</v>
      </c>
      <c r="E137" s="5">
        <v>52.22</v>
      </c>
      <c r="F137" s="5"/>
    </row>
    <row r="138" spans="1:6" x14ac:dyDescent="0.2">
      <c r="A138" s="2">
        <v>6.8</v>
      </c>
      <c r="B138" s="5">
        <v>52.2</v>
      </c>
      <c r="C138" s="5">
        <v>52.36</v>
      </c>
      <c r="D138" s="5">
        <v>52.55</v>
      </c>
      <c r="E138" s="5">
        <v>52.71</v>
      </c>
      <c r="F138" s="5"/>
    </row>
    <row r="139" spans="1:6" x14ac:dyDescent="0.2">
      <c r="A139" s="2">
        <v>6.85</v>
      </c>
      <c r="B139" s="5">
        <v>52.69</v>
      </c>
      <c r="C139" s="5">
        <v>52.85</v>
      </c>
      <c r="D139" s="5">
        <v>53.04</v>
      </c>
      <c r="E139" s="5">
        <v>53.2</v>
      </c>
      <c r="F139" s="5"/>
    </row>
    <row r="140" spans="1:6" x14ac:dyDescent="0.2">
      <c r="A140" s="2">
        <v>6.9</v>
      </c>
      <c r="B140" s="5">
        <v>53.18</v>
      </c>
      <c r="C140" s="5">
        <v>53.36</v>
      </c>
      <c r="D140" s="5">
        <v>53.5</v>
      </c>
      <c r="E140" s="5">
        <v>53.69</v>
      </c>
      <c r="F140" s="5"/>
    </row>
    <row r="141" spans="1:6" x14ac:dyDescent="0.2">
      <c r="A141" s="2">
        <v>6.95</v>
      </c>
      <c r="B141" s="5">
        <v>53.66</v>
      </c>
      <c r="C141" s="5">
        <v>53.85</v>
      </c>
      <c r="D141" s="5">
        <v>53.99</v>
      </c>
      <c r="E141" s="5">
        <v>54.14</v>
      </c>
      <c r="F141" s="5"/>
    </row>
    <row r="142" spans="1:6" x14ac:dyDescent="0.2">
      <c r="A142" s="2">
        <v>7</v>
      </c>
      <c r="B142" s="5">
        <v>54.15</v>
      </c>
      <c r="C142" s="5">
        <v>54.29</v>
      </c>
      <c r="D142" s="5">
        <v>54.46</v>
      </c>
      <c r="E142" s="5">
        <v>54.58</v>
      </c>
      <c r="F142" s="5"/>
    </row>
    <row r="143" spans="1:6" x14ac:dyDescent="0.2">
      <c r="A143" s="2">
        <v>7.05</v>
      </c>
      <c r="B143" s="5">
        <v>54.57</v>
      </c>
      <c r="C143" s="5">
        <v>54.65</v>
      </c>
      <c r="D143" s="5">
        <v>54.77</v>
      </c>
      <c r="E143" s="5">
        <v>54.79</v>
      </c>
      <c r="F143" s="5"/>
    </row>
    <row r="144" spans="1:6" x14ac:dyDescent="0.2">
      <c r="A144" s="2">
        <v>7.1</v>
      </c>
      <c r="B144" s="5">
        <v>54.82</v>
      </c>
      <c r="C144" s="5">
        <v>54.85</v>
      </c>
      <c r="D144" s="5">
        <v>54.85</v>
      </c>
      <c r="E144" s="5">
        <v>54.85</v>
      </c>
      <c r="F144" s="5"/>
    </row>
    <row r="145" spans="1:6" x14ac:dyDescent="0.2">
      <c r="A145" s="2">
        <v>7.15</v>
      </c>
      <c r="B145" s="5">
        <v>54.85</v>
      </c>
      <c r="C145" s="5">
        <v>54.85</v>
      </c>
      <c r="D145" s="5">
        <v>54.85</v>
      </c>
      <c r="E145" s="5">
        <v>54.85</v>
      </c>
      <c r="F145" s="5"/>
    </row>
  </sheetData>
  <sheetProtection sheet="1" objects="1" scenarios="1"/>
  <conditionalFormatting sqref="B2:E145">
    <cfRule type="expression" dxfId="5" priority="2" stopIfTrue="1">
      <formula>IF(AND(OR($A2=$L$4,$A2=$L$6),OR(B$1=$M$3,B$1=$O$3),OR(B2=$M$4,B2=$M$6,B2=$O$4,B2=$O$6)),TRUE,FALSE)</formula>
    </cfRule>
  </conditionalFormatting>
  <conditionalFormatting sqref="A1:A65536">
    <cfRule type="expression" dxfId="4" priority="3" stopIfTrue="1">
      <formula>IF(OR($A1=$L$4,$A1=$L$6),TRUE,FALSE)</formula>
    </cfRule>
  </conditionalFormatting>
  <conditionalFormatting sqref="B1:E1">
    <cfRule type="expression" dxfId="3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G1" sqref="G1"/>
    </sheetView>
  </sheetViews>
  <sheetFormatPr defaultRowHeight="12.75" x14ac:dyDescent="0.2"/>
  <cols>
    <col min="1" max="10" width="8.7109375" style="2" customWidth="1"/>
    <col min="11" max="256" width="8.85546875" style="4"/>
    <col min="257" max="266" width="8.7109375" style="4" customWidth="1"/>
    <col min="267" max="512" width="8.85546875" style="4"/>
    <col min="513" max="522" width="8.7109375" style="4" customWidth="1"/>
    <col min="523" max="768" width="8.85546875" style="4"/>
    <col min="769" max="778" width="8.7109375" style="4" customWidth="1"/>
    <col min="779" max="1024" width="8.85546875" style="4"/>
    <col min="1025" max="1034" width="8.7109375" style="4" customWidth="1"/>
    <col min="1035" max="1280" width="8.85546875" style="4"/>
    <col min="1281" max="1290" width="8.7109375" style="4" customWidth="1"/>
    <col min="1291" max="1536" width="8.85546875" style="4"/>
    <col min="1537" max="1546" width="8.7109375" style="4" customWidth="1"/>
    <col min="1547" max="1792" width="8.85546875" style="4"/>
    <col min="1793" max="1802" width="8.7109375" style="4" customWidth="1"/>
    <col min="1803" max="2048" width="8.85546875" style="4"/>
    <col min="2049" max="2058" width="8.7109375" style="4" customWidth="1"/>
    <col min="2059" max="2304" width="8.85546875" style="4"/>
    <col min="2305" max="2314" width="8.7109375" style="4" customWidth="1"/>
    <col min="2315" max="2560" width="8.85546875" style="4"/>
    <col min="2561" max="2570" width="8.7109375" style="4" customWidth="1"/>
    <col min="2571" max="2816" width="8.85546875" style="4"/>
    <col min="2817" max="2826" width="8.7109375" style="4" customWidth="1"/>
    <col min="2827" max="3072" width="8.85546875" style="4"/>
    <col min="3073" max="3082" width="8.7109375" style="4" customWidth="1"/>
    <col min="3083" max="3328" width="8.85546875" style="4"/>
    <col min="3329" max="3338" width="8.7109375" style="4" customWidth="1"/>
    <col min="3339" max="3584" width="8.85546875" style="4"/>
    <col min="3585" max="3594" width="8.7109375" style="4" customWidth="1"/>
    <col min="3595" max="3840" width="8.85546875" style="4"/>
    <col min="3841" max="3850" width="8.7109375" style="4" customWidth="1"/>
    <col min="3851" max="4096" width="8.85546875" style="4"/>
    <col min="4097" max="4106" width="8.7109375" style="4" customWidth="1"/>
    <col min="4107" max="4352" width="8.85546875" style="4"/>
    <col min="4353" max="4362" width="8.7109375" style="4" customWidth="1"/>
    <col min="4363" max="4608" width="8.85546875" style="4"/>
    <col min="4609" max="4618" width="8.7109375" style="4" customWidth="1"/>
    <col min="4619" max="4864" width="8.85546875" style="4"/>
    <col min="4865" max="4874" width="8.7109375" style="4" customWidth="1"/>
    <col min="4875" max="5120" width="8.85546875" style="4"/>
    <col min="5121" max="5130" width="8.7109375" style="4" customWidth="1"/>
    <col min="5131" max="5376" width="8.85546875" style="4"/>
    <col min="5377" max="5386" width="8.7109375" style="4" customWidth="1"/>
    <col min="5387" max="5632" width="8.85546875" style="4"/>
    <col min="5633" max="5642" width="8.7109375" style="4" customWidth="1"/>
    <col min="5643" max="5888" width="8.85546875" style="4"/>
    <col min="5889" max="5898" width="8.7109375" style="4" customWidth="1"/>
    <col min="5899" max="6144" width="8.85546875" style="4"/>
    <col min="6145" max="6154" width="8.7109375" style="4" customWidth="1"/>
    <col min="6155" max="6400" width="8.85546875" style="4"/>
    <col min="6401" max="6410" width="8.7109375" style="4" customWidth="1"/>
    <col min="6411" max="6656" width="8.85546875" style="4"/>
    <col min="6657" max="6666" width="8.7109375" style="4" customWidth="1"/>
    <col min="6667" max="6912" width="8.85546875" style="4"/>
    <col min="6913" max="6922" width="8.7109375" style="4" customWidth="1"/>
    <col min="6923" max="7168" width="8.85546875" style="4"/>
    <col min="7169" max="7178" width="8.7109375" style="4" customWidth="1"/>
    <col min="7179" max="7424" width="8.85546875" style="4"/>
    <col min="7425" max="7434" width="8.7109375" style="4" customWidth="1"/>
    <col min="7435" max="7680" width="8.85546875" style="4"/>
    <col min="7681" max="7690" width="8.7109375" style="4" customWidth="1"/>
    <col min="7691" max="7936" width="8.85546875" style="4"/>
    <col min="7937" max="7946" width="8.7109375" style="4" customWidth="1"/>
    <col min="7947" max="8192" width="8.85546875" style="4"/>
    <col min="8193" max="8202" width="8.7109375" style="4" customWidth="1"/>
    <col min="8203" max="8448" width="8.85546875" style="4"/>
    <col min="8449" max="8458" width="8.7109375" style="4" customWidth="1"/>
    <col min="8459" max="8704" width="8.85546875" style="4"/>
    <col min="8705" max="8714" width="8.7109375" style="4" customWidth="1"/>
    <col min="8715" max="8960" width="8.85546875" style="4"/>
    <col min="8961" max="8970" width="8.7109375" style="4" customWidth="1"/>
    <col min="8971" max="9216" width="8.85546875" style="4"/>
    <col min="9217" max="9226" width="8.7109375" style="4" customWidth="1"/>
    <col min="9227" max="9472" width="8.85546875" style="4"/>
    <col min="9473" max="9482" width="8.7109375" style="4" customWidth="1"/>
    <col min="9483" max="9728" width="8.85546875" style="4"/>
    <col min="9729" max="9738" width="8.7109375" style="4" customWidth="1"/>
    <col min="9739" max="9984" width="8.85546875" style="4"/>
    <col min="9985" max="9994" width="8.7109375" style="4" customWidth="1"/>
    <col min="9995" max="10240" width="8.85546875" style="4"/>
    <col min="10241" max="10250" width="8.7109375" style="4" customWidth="1"/>
    <col min="10251" max="10496" width="8.85546875" style="4"/>
    <col min="10497" max="10506" width="8.7109375" style="4" customWidth="1"/>
    <col min="10507" max="10752" width="8.85546875" style="4"/>
    <col min="10753" max="10762" width="8.7109375" style="4" customWidth="1"/>
    <col min="10763" max="11008" width="8.85546875" style="4"/>
    <col min="11009" max="11018" width="8.7109375" style="4" customWidth="1"/>
    <col min="11019" max="11264" width="8.85546875" style="4"/>
    <col min="11265" max="11274" width="8.7109375" style="4" customWidth="1"/>
    <col min="11275" max="11520" width="8.85546875" style="4"/>
    <col min="11521" max="11530" width="8.7109375" style="4" customWidth="1"/>
    <col min="11531" max="11776" width="8.85546875" style="4"/>
    <col min="11777" max="11786" width="8.7109375" style="4" customWidth="1"/>
    <col min="11787" max="12032" width="8.85546875" style="4"/>
    <col min="12033" max="12042" width="8.7109375" style="4" customWidth="1"/>
    <col min="12043" max="12288" width="8.85546875" style="4"/>
    <col min="12289" max="12298" width="8.7109375" style="4" customWidth="1"/>
    <col min="12299" max="12544" width="8.85546875" style="4"/>
    <col min="12545" max="12554" width="8.7109375" style="4" customWidth="1"/>
    <col min="12555" max="12800" width="8.85546875" style="4"/>
    <col min="12801" max="12810" width="8.7109375" style="4" customWidth="1"/>
    <col min="12811" max="13056" width="8.85546875" style="4"/>
    <col min="13057" max="13066" width="8.7109375" style="4" customWidth="1"/>
    <col min="13067" max="13312" width="8.85546875" style="4"/>
    <col min="13313" max="13322" width="8.7109375" style="4" customWidth="1"/>
    <col min="13323" max="13568" width="8.85546875" style="4"/>
    <col min="13569" max="13578" width="8.7109375" style="4" customWidth="1"/>
    <col min="13579" max="13824" width="8.85546875" style="4"/>
    <col min="13825" max="13834" width="8.7109375" style="4" customWidth="1"/>
    <col min="13835" max="14080" width="8.85546875" style="4"/>
    <col min="14081" max="14090" width="8.7109375" style="4" customWidth="1"/>
    <col min="14091" max="14336" width="8.85546875" style="4"/>
    <col min="14337" max="14346" width="8.7109375" style="4" customWidth="1"/>
    <col min="14347" max="14592" width="8.85546875" style="4"/>
    <col min="14593" max="14602" width="8.7109375" style="4" customWidth="1"/>
    <col min="14603" max="14848" width="8.85546875" style="4"/>
    <col min="14849" max="14858" width="8.7109375" style="4" customWidth="1"/>
    <col min="14859" max="15104" width="8.85546875" style="4"/>
    <col min="15105" max="15114" width="8.7109375" style="4" customWidth="1"/>
    <col min="15115" max="15360" width="8.85546875" style="4"/>
    <col min="15361" max="15370" width="8.7109375" style="4" customWidth="1"/>
    <col min="15371" max="15616" width="8.85546875" style="4"/>
    <col min="15617" max="15626" width="8.7109375" style="4" customWidth="1"/>
    <col min="15627" max="15872" width="8.85546875" style="4"/>
    <col min="15873" max="15882" width="8.7109375" style="4" customWidth="1"/>
    <col min="15883" max="16128" width="8.85546875" style="4"/>
    <col min="16129" max="16138" width="8.7109375" style="4" customWidth="1"/>
    <col min="16139" max="16384" width="8.85546875" style="4"/>
  </cols>
  <sheetData>
    <row r="1" spans="1:16" x14ac:dyDescent="0.2">
      <c r="A1" s="1" t="s">
        <v>0</v>
      </c>
      <c r="B1" s="2">
        <v>0</v>
      </c>
      <c r="C1" s="2">
        <v>1</v>
      </c>
      <c r="D1" s="2">
        <v>2</v>
      </c>
      <c r="E1" s="3">
        <v>3</v>
      </c>
    </row>
    <row r="2" spans="1:16" x14ac:dyDescent="0.2">
      <c r="A2" s="2">
        <v>0</v>
      </c>
      <c r="B2" s="5">
        <v>0.15</v>
      </c>
      <c r="C2" s="5">
        <v>0.15</v>
      </c>
      <c r="D2" s="5">
        <v>0.15</v>
      </c>
      <c r="E2" s="5">
        <v>0.15</v>
      </c>
      <c r="F2" s="5"/>
      <c r="I2" s="2" t="b">
        <f>IF(AND(OR($A2=$L$4,$A2=$L$6),OR(B$1=$M$3,B$1=$O$3),OR(B2=$M$4,B2=$M$6,B2=$O$4,B2=$O$6)),TRUE,FALSE)</f>
        <v>0</v>
      </c>
    </row>
    <row r="3" spans="1:16" x14ac:dyDescent="0.2">
      <c r="A3" s="2">
        <v>0.05</v>
      </c>
      <c r="B3" s="5">
        <v>0.17</v>
      </c>
      <c r="C3" s="5">
        <v>0.17</v>
      </c>
      <c r="D3" s="5">
        <v>0.17</v>
      </c>
      <c r="E3" s="5">
        <v>0.18</v>
      </c>
      <c r="F3" s="5"/>
      <c r="K3" s="2"/>
      <c r="L3" s="2"/>
      <c r="M3" s="2">
        <f>INT(N3)</f>
        <v>2</v>
      </c>
      <c r="N3" s="2">
        <f>Before!C6</f>
        <v>2.5</v>
      </c>
      <c r="O3" s="2">
        <f>IF(M3=N3,N3,M3+1)</f>
        <v>3</v>
      </c>
    </row>
    <row r="4" spans="1:16" x14ac:dyDescent="0.2">
      <c r="A4" s="2">
        <v>0.1</v>
      </c>
      <c r="B4" s="5">
        <v>0.19</v>
      </c>
      <c r="C4" s="5">
        <v>0.2</v>
      </c>
      <c r="D4" s="5">
        <v>0.21</v>
      </c>
      <c r="E4" s="5">
        <v>0.21</v>
      </c>
      <c r="F4" s="5"/>
      <c r="K4" s="2"/>
      <c r="L4" s="2">
        <f>IF(O8=0.05,L5,L5-O8)</f>
        <v>2.4</v>
      </c>
      <c r="M4" s="2">
        <f>VLOOKUP(ROUNDDOWN(L4,2),A:F,MATCH(M3,B1:F1,0)+1,FALSE)</f>
        <v>10.24</v>
      </c>
      <c r="N4" s="2">
        <f>IF(($O$3-$M$3)&gt;0,M4+(($N$3-$M$3)*(O4-M4)/($O$3-$M$3)),M4)</f>
        <v>10.31</v>
      </c>
      <c r="O4" s="2">
        <f>VLOOKUP(ROUNDDOWN($L$4,2),A:F,MATCH(O$3,B1:F1,0)+1,FALSE)</f>
        <v>10.38</v>
      </c>
    </row>
    <row r="5" spans="1:16" x14ac:dyDescent="0.2">
      <c r="A5" s="2">
        <v>0.15</v>
      </c>
      <c r="B5" s="5">
        <v>0.23</v>
      </c>
      <c r="C5" s="5">
        <v>0.24</v>
      </c>
      <c r="D5" s="5">
        <v>0.25</v>
      </c>
      <c r="E5" s="5">
        <v>0.25</v>
      </c>
      <c r="F5" s="5"/>
      <c r="K5" s="2"/>
      <c r="L5" s="2">
        <f>Before!E23</f>
        <v>2.44</v>
      </c>
      <c r="M5" s="1" t="s">
        <v>1</v>
      </c>
      <c r="N5" s="2">
        <f>IF(($L$6-$L$4)&gt;0,N4+(($L$5-$L$4)*(N6-N4)/0.05),N4)</f>
        <v>10.65</v>
      </c>
      <c r="O5" s="1" t="s">
        <v>2</v>
      </c>
    </row>
    <row r="6" spans="1:16" x14ac:dyDescent="0.2">
      <c r="A6" s="2">
        <v>0.2</v>
      </c>
      <c r="B6" s="5">
        <v>0.27</v>
      </c>
      <c r="C6" s="5">
        <v>0.28000000000000003</v>
      </c>
      <c r="D6" s="5">
        <v>0.28000000000000003</v>
      </c>
      <c r="E6" s="5">
        <v>0.28000000000000003</v>
      </c>
      <c r="F6" s="5"/>
      <c r="K6" s="2"/>
      <c r="L6" s="2">
        <f>IF(OR(O8=0.05,O8=0),L5,L5+(0.05-O8))</f>
        <v>2.4499999999999997</v>
      </c>
      <c r="M6" s="2">
        <f>VLOOKUP(ROUND($L6,2),A:F,MATCH($M$3,B1:F1,0)+1,FALSE)</f>
        <v>10.66</v>
      </c>
      <c r="N6" s="2">
        <f>IF(($O$3-$M$3)&gt;0,M6+(($N$3-$M$3)*(O6-M6)/($O$3-$M$3)),M6)</f>
        <v>10.734999999999999</v>
      </c>
      <c r="O6" s="2">
        <f>VLOOKUP(ROUNDDOWN($L$6,2),A:F,MATCH($O$3,B1:F1,0)+1,FALSE)</f>
        <v>10.81</v>
      </c>
    </row>
    <row r="7" spans="1:16" x14ac:dyDescent="0.2">
      <c r="A7" s="2">
        <v>0.25</v>
      </c>
      <c r="B7" s="5">
        <v>0.32</v>
      </c>
      <c r="C7" s="5">
        <v>0.32</v>
      </c>
      <c r="D7" s="5">
        <v>0.32</v>
      </c>
      <c r="E7" s="5">
        <v>0.32</v>
      </c>
      <c r="F7" s="5"/>
      <c r="K7" s="2"/>
      <c r="L7" s="2"/>
      <c r="M7" s="2"/>
      <c r="N7" s="2"/>
      <c r="O7" s="2"/>
    </row>
    <row r="8" spans="1:16" x14ac:dyDescent="0.2">
      <c r="A8" s="2">
        <v>0.3</v>
      </c>
      <c r="B8" s="5">
        <v>0.36</v>
      </c>
      <c r="C8" s="5">
        <v>0.36</v>
      </c>
      <c r="D8" s="5">
        <v>0.36</v>
      </c>
      <c r="E8" s="5">
        <v>0.38</v>
      </c>
      <c r="F8" s="5"/>
      <c r="K8" s="2"/>
      <c r="L8" s="2"/>
      <c r="M8" s="2">
        <f>(L5-INT(L5))*10</f>
        <v>4.3999999999999995</v>
      </c>
      <c r="N8" s="2">
        <f>ROUND((M8-INT(M8))*10,5)</f>
        <v>4</v>
      </c>
      <c r="O8" s="2">
        <f>IF(N8&gt;5,(N8-5)/100,N8/100)</f>
        <v>0.04</v>
      </c>
    </row>
    <row r="9" spans="1:16" x14ac:dyDescent="0.2">
      <c r="A9" s="2">
        <v>0.35</v>
      </c>
      <c r="B9" s="5">
        <v>0.41</v>
      </c>
      <c r="C9" s="5">
        <v>0.41</v>
      </c>
      <c r="D9" s="5">
        <v>0.43</v>
      </c>
      <c r="E9" s="5">
        <v>0.45</v>
      </c>
      <c r="F9" s="5"/>
      <c r="K9" s="2"/>
      <c r="L9" s="2"/>
    </row>
    <row r="10" spans="1:16" x14ac:dyDescent="0.2">
      <c r="A10" s="2">
        <v>0.4</v>
      </c>
      <c r="B10" s="5">
        <v>0.47</v>
      </c>
      <c r="C10" s="5">
        <v>0.49</v>
      </c>
      <c r="D10" s="5">
        <v>0.51</v>
      </c>
      <c r="E10" s="5">
        <v>0.52</v>
      </c>
      <c r="F10" s="5"/>
      <c r="K10" s="2"/>
      <c r="L10" s="2"/>
      <c r="M10" s="2"/>
      <c r="N10" s="2"/>
    </row>
    <row r="11" spans="1:16" ht="15" x14ac:dyDescent="0.25">
      <c r="A11" s="2">
        <v>0.45</v>
      </c>
      <c r="B11" s="5">
        <v>0.55000000000000004</v>
      </c>
      <c r="C11" s="5">
        <v>0.56999999999999995</v>
      </c>
      <c r="D11" s="5">
        <v>0.57999999999999996</v>
      </c>
      <c r="E11" s="5">
        <v>0.6</v>
      </c>
      <c r="F11" s="5"/>
      <c r="K11" s="2"/>
      <c r="L11" s="219"/>
      <c r="M11" s="219">
        <v>0</v>
      </c>
      <c r="N11" s="219">
        <v>1</v>
      </c>
      <c r="O11" s="220">
        <v>2</v>
      </c>
      <c r="P11" s="220">
        <v>3</v>
      </c>
    </row>
    <row r="12" spans="1:16" ht="15" x14ac:dyDescent="0.25">
      <c r="A12" s="2">
        <v>0.5</v>
      </c>
      <c r="B12" s="5">
        <v>0.61</v>
      </c>
      <c r="C12" s="5">
        <v>0.65</v>
      </c>
      <c r="D12" s="5">
        <v>0.66</v>
      </c>
      <c r="E12" s="5">
        <v>0.67</v>
      </c>
      <c r="F12" s="5"/>
      <c r="K12" s="2"/>
      <c r="L12" s="219"/>
      <c r="M12" s="219">
        <f>LOOKUP(N15,B:B,A:A)</f>
        <v>6.05</v>
      </c>
      <c r="N12" s="219">
        <f>LOOKUP($N$15,C:C,$A:$A)</f>
        <v>6</v>
      </c>
      <c r="O12" s="219">
        <f>LOOKUP($N$15,D:D,$A:$A)</f>
        <v>6</v>
      </c>
      <c r="P12" s="219">
        <f>LOOKUP($N$15,E:E,$A:$A)</f>
        <v>6</v>
      </c>
    </row>
    <row r="13" spans="1:16" ht="15" x14ac:dyDescent="0.25">
      <c r="A13" s="2">
        <v>0.55000000000000004</v>
      </c>
      <c r="B13" s="5">
        <v>0.72</v>
      </c>
      <c r="C13" s="5">
        <v>0.73</v>
      </c>
      <c r="D13" s="5">
        <v>0.73</v>
      </c>
      <c r="E13" s="5">
        <v>0.76</v>
      </c>
      <c r="F13" s="5"/>
      <c r="K13" s="2"/>
      <c r="L13" s="219"/>
      <c r="M13" s="219">
        <f>INT(N3)</f>
        <v>2</v>
      </c>
      <c r="N13" s="219">
        <f>Before!O8</f>
        <v>2</v>
      </c>
      <c r="O13" s="219">
        <f>IF(M3=N3,N3,M3+1)</f>
        <v>3</v>
      </c>
      <c r="P13"/>
    </row>
    <row r="14" spans="1:16" ht="15" x14ac:dyDescent="0.25">
      <c r="A14" s="2">
        <v>0.6</v>
      </c>
      <c r="B14" s="5">
        <v>0.8</v>
      </c>
      <c r="C14" s="5">
        <v>0.81</v>
      </c>
      <c r="D14" s="5">
        <v>0.84</v>
      </c>
      <c r="E14" s="5">
        <v>0.87</v>
      </c>
      <c r="F14" s="5"/>
      <c r="K14" s="2"/>
      <c r="L14" s="219">
        <f>HLOOKUP(M$13,$M$11:$P$12,2,FALSE)</f>
        <v>6</v>
      </c>
      <c r="M14" s="219">
        <f>VLOOKUP(ROUNDDOWN(L14,2),A:F,MATCH(M13,B1:F1,0)+1,FALSE)</f>
        <v>44.71</v>
      </c>
      <c r="N14" s="219">
        <f>IF(($O$13-$M$13)&gt;0,M14+(($N$13-$M$13)*(O14-M14)/($O$13-$M$13)),M14)</f>
        <v>44.71</v>
      </c>
      <c r="O14" s="219">
        <f>VLOOKUP(ROUNDDOWN(P14,2),A:F,MATCH(O$13,B1:F1,0)+1,FALSE)</f>
        <v>44.87</v>
      </c>
      <c r="P14">
        <f>HLOOKUP(O$13,$M$11:$P$12,2,FALSE)</f>
        <v>6</v>
      </c>
    </row>
    <row r="15" spans="1:16" ht="15" x14ac:dyDescent="0.25">
      <c r="A15" s="2">
        <v>0.65</v>
      </c>
      <c r="B15" s="5">
        <v>0.89</v>
      </c>
      <c r="C15" s="5">
        <v>0.92</v>
      </c>
      <c r="D15" s="5">
        <v>0.95</v>
      </c>
      <c r="E15" s="5">
        <v>0.98</v>
      </c>
      <c r="F15" s="5"/>
      <c r="L15" s="219">
        <f>L14+((N15-N14)*ABS(L16-L14))/(N16-N14)</f>
        <v>6.0298192828533281</v>
      </c>
      <c r="M15" s="222" t="s">
        <v>97</v>
      </c>
      <c r="N15" s="219">
        <f>Before!M23</f>
        <v>45.002228971962616</v>
      </c>
      <c r="O15" s="222" t="s">
        <v>98</v>
      </c>
      <c r="P15"/>
    </row>
    <row r="16" spans="1:16" ht="15" x14ac:dyDescent="0.25">
      <c r="A16" s="2">
        <v>0.7</v>
      </c>
      <c r="B16" s="5">
        <v>1.01</v>
      </c>
      <c r="C16" s="5">
        <v>1.04</v>
      </c>
      <c r="D16" s="5">
        <v>1.07</v>
      </c>
      <c r="E16" s="5">
        <v>1.0900000000000001</v>
      </c>
      <c r="F16" s="5"/>
      <c r="L16" s="219">
        <f>IF(N15&gt;M14,L14+0.05,L14-0.05)</f>
        <v>6.05</v>
      </c>
      <c r="M16" s="219">
        <f>VLOOKUP(ROUNDDOWN(L16,2),A:F,MATCH(M13,B1:F1,0)+1,FALSE)</f>
        <v>45.2</v>
      </c>
      <c r="N16" s="219">
        <f>IF(($O$13-$M$13)&gt;0,M16+(($N$13-$M$13)*(O16-M16)/($O$13-$M$13)),M16)</f>
        <v>45.2</v>
      </c>
      <c r="O16" s="219">
        <f>VLOOKUP(ROUNDDOWN(P16,2),A:F,MATCH(O$13,B1:F1,0)+1,FALSE)</f>
        <v>45.36</v>
      </c>
      <c r="P16" s="219">
        <f>IF(N15&gt;O14,P14+0.05,P14-0.05)</f>
        <v>6.05</v>
      </c>
    </row>
    <row r="17" spans="1:15" x14ac:dyDescent="0.2">
      <c r="A17" s="2">
        <v>0.75</v>
      </c>
      <c r="B17" s="5">
        <v>1.1299999999999999</v>
      </c>
      <c r="C17" s="5">
        <v>1.1599999999999999</v>
      </c>
      <c r="D17" s="5">
        <v>1.18</v>
      </c>
      <c r="E17" s="5">
        <v>1.2</v>
      </c>
      <c r="F17" s="5"/>
    </row>
    <row r="18" spans="1:15" x14ac:dyDescent="0.2">
      <c r="A18" s="2">
        <v>0.8</v>
      </c>
      <c r="B18" s="5">
        <v>1.25</v>
      </c>
      <c r="C18" s="5">
        <v>1.27</v>
      </c>
      <c r="D18" s="5">
        <v>1.29</v>
      </c>
      <c r="E18" s="5">
        <v>1.32</v>
      </c>
      <c r="F18" s="5"/>
    </row>
    <row r="19" spans="1:15" x14ac:dyDescent="0.2">
      <c r="A19" s="2">
        <v>0.85</v>
      </c>
      <c r="B19" s="5">
        <v>1.37</v>
      </c>
      <c r="C19" s="5">
        <v>1.39</v>
      </c>
      <c r="D19" s="5">
        <v>1.42</v>
      </c>
      <c r="E19" s="5">
        <v>1.46</v>
      </c>
      <c r="F19" s="5"/>
      <c r="L19" s="2"/>
      <c r="M19" s="2">
        <f>INT(N19)</f>
        <v>2</v>
      </c>
      <c r="N19" s="2">
        <f>Before!O8</f>
        <v>2</v>
      </c>
      <c r="O19" s="2">
        <f>IF(M19=N19,N19,M19+1)</f>
        <v>2</v>
      </c>
    </row>
    <row r="20" spans="1:15" x14ac:dyDescent="0.2">
      <c r="A20" s="2">
        <v>0.9</v>
      </c>
      <c r="B20" s="5">
        <v>1.49</v>
      </c>
      <c r="C20" s="5">
        <v>1.52</v>
      </c>
      <c r="D20" s="5">
        <v>1.57</v>
      </c>
      <c r="E20" s="5">
        <v>1.62</v>
      </c>
      <c r="F20" s="5"/>
      <c r="L20" s="2">
        <f>IF(O24=0.05,L21,L21-O24)</f>
        <v>6.05</v>
      </c>
      <c r="M20" s="2">
        <f>VLOOKUP(ROUNDDOWN(L20,2),A:F,MATCH(M19,B1:F1,0)+1,FALSE)</f>
        <v>45.2</v>
      </c>
      <c r="N20" s="2">
        <f>IF(($O$19-$M$19)&gt;0,M20+(($N$19-$M$19)*(O20-M20)/($O$19-$M$19)),M20)</f>
        <v>45.2</v>
      </c>
      <c r="O20" s="2">
        <f>VLOOKUP(ROUNDDOWN($L$20,2),A:F,MATCH(O$19,B1:F1,0)+1,FALSE)</f>
        <v>45.2</v>
      </c>
    </row>
    <row r="21" spans="1:15" x14ac:dyDescent="0.2">
      <c r="A21" s="2">
        <v>0.95</v>
      </c>
      <c r="B21" s="5">
        <v>1.64</v>
      </c>
      <c r="C21" s="5">
        <v>1.69</v>
      </c>
      <c r="D21" s="5">
        <v>1.73</v>
      </c>
      <c r="E21" s="5">
        <v>1.78</v>
      </c>
      <c r="F21" s="5"/>
      <c r="L21" s="2">
        <f>After!L17</f>
        <v>6.05</v>
      </c>
      <c r="M21" s="1" t="s">
        <v>1</v>
      </c>
      <c r="N21" s="2">
        <f>IF(($L$22-$L$20)&gt;0,N20+(($L$21-$L$20)*(N22-N20)/0.05),N20)</f>
        <v>45.2</v>
      </c>
      <c r="O21" s="1" t="s">
        <v>2</v>
      </c>
    </row>
    <row r="22" spans="1:15" x14ac:dyDescent="0.2">
      <c r="A22" s="2">
        <v>1</v>
      </c>
      <c r="B22" s="5">
        <v>1.8</v>
      </c>
      <c r="C22" s="5">
        <v>1.85</v>
      </c>
      <c r="D22" s="5">
        <v>1.89</v>
      </c>
      <c r="E22" s="5">
        <v>1.93</v>
      </c>
      <c r="F22" s="5"/>
      <c r="L22" s="2">
        <f>IF(OR(O24=0.05,O24=0),L21,L21+(0.05-O24))</f>
        <v>6.05</v>
      </c>
      <c r="M22" s="2">
        <f>VLOOKUP(ROUND($L22,2),A:F,MATCH($M$19,B1:F1,0)+1,FALSE)</f>
        <v>45.2</v>
      </c>
      <c r="N22" s="2">
        <f>IF(($O$19-$M$19)&gt;0,M22+(($N$19-$M$19)*(O22-M22)/($O$3-$M$19)),M22)</f>
        <v>45.2</v>
      </c>
      <c r="O22" s="2">
        <f>VLOOKUP(ROUNDDOWN($L$22,2),A:F,MATCH($O$19,B1:F1,0)+1,FALSE)</f>
        <v>45.2</v>
      </c>
    </row>
    <row r="23" spans="1:15" x14ac:dyDescent="0.2">
      <c r="A23" s="2">
        <v>1.05</v>
      </c>
      <c r="B23" s="5">
        <v>1.97</v>
      </c>
      <c r="C23" s="5">
        <v>2.0099999999999998</v>
      </c>
      <c r="D23" s="5">
        <v>2.0499999999999998</v>
      </c>
      <c r="E23" s="5">
        <v>2.09</v>
      </c>
      <c r="F23" s="5"/>
      <c r="L23" s="2"/>
      <c r="M23" s="2"/>
      <c r="N23" s="2"/>
      <c r="O23" s="2"/>
    </row>
    <row r="24" spans="1:15" x14ac:dyDescent="0.2">
      <c r="A24" s="2">
        <v>1.1000000000000001</v>
      </c>
      <c r="B24" s="5">
        <v>2.14</v>
      </c>
      <c r="C24" s="5">
        <v>2.1800000000000002</v>
      </c>
      <c r="D24" s="5">
        <v>2.21</v>
      </c>
      <c r="E24" s="5">
        <v>2.27</v>
      </c>
      <c r="F24" s="5"/>
      <c r="L24" s="2"/>
      <c r="M24" s="2">
        <f>(L21-INT(L21))*10</f>
        <v>0.49999999999999822</v>
      </c>
      <c r="N24" s="2">
        <f>ROUND((M24-INT(M24))*10,5)</f>
        <v>5</v>
      </c>
      <c r="O24" s="2">
        <f>IF(N24&gt;5,(N24-5)/100,N24/100)</f>
        <v>0.05</v>
      </c>
    </row>
    <row r="25" spans="1:15" x14ac:dyDescent="0.2">
      <c r="A25" s="2">
        <v>1.1499999999999999</v>
      </c>
      <c r="B25" s="5">
        <v>2.31</v>
      </c>
      <c r="C25" s="5">
        <v>2.34</v>
      </c>
      <c r="D25" s="5">
        <v>2.41</v>
      </c>
      <c r="E25" s="5">
        <v>2.48</v>
      </c>
      <c r="F25" s="5"/>
    </row>
    <row r="26" spans="1:15" x14ac:dyDescent="0.2">
      <c r="A26" s="2">
        <v>1.2</v>
      </c>
      <c r="B26" s="5">
        <v>2.4900000000000002</v>
      </c>
      <c r="C26" s="5">
        <v>2.5499999999999998</v>
      </c>
      <c r="D26" s="5">
        <v>2.62</v>
      </c>
      <c r="E26" s="5">
        <v>2.68</v>
      </c>
      <c r="F26" s="5"/>
    </row>
    <row r="27" spans="1:15" x14ac:dyDescent="0.2">
      <c r="A27" s="2">
        <v>1.25</v>
      </c>
      <c r="B27" s="5">
        <v>2.7</v>
      </c>
      <c r="C27" s="5">
        <v>2.76</v>
      </c>
      <c r="D27" s="5">
        <v>2.82</v>
      </c>
      <c r="E27" s="5">
        <v>2.88</v>
      </c>
      <c r="F27" s="5"/>
    </row>
    <row r="28" spans="1:15" x14ac:dyDescent="0.2">
      <c r="A28" s="2">
        <v>1.3</v>
      </c>
      <c r="B28" s="5">
        <v>2.91</v>
      </c>
      <c r="C28" s="5">
        <v>2.97</v>
      </c>
      <c r="D28" s="5">
        <v>3.03</v>
      </c>
      <c r="E28" s="5">
        <v>3.08</v>
      </c>
      <c r="F28" s="5"/>
    </row>
    <row r="29" spans="1:15" x14ac:dyDescent="0.2">
      <c r="A29" s="2">
        <v>1.35</v>
      </c>
      <c r="B29" s="5">
        <v>3.12</v>
      </c>
      <c r="C29" s="5">
        <v>3.18</v>
      </c>
      <c r="D29" s="5">
        <v>3.23</v>
      </c>
      <c r="E29" s="5">
        <v>3.31</v>
      </c>
      <c r="F29" s="5"/>
    </row>
    <row r="30" spans="1:15" x14ac:dyDescent="0.2">
      <c r="A30" s="2">
        <v>1.4</v>
      </c>
      <c r="B30" s="5">
        <v>3.33</v>
      </c>
      <c r="C30" s="5">
        <v>3.39</v>
      </c>
      <c r="D30" s="5">
        <v>3.48</v>
      </c>
      <c r="E30" s="5">
        <v>3.56</v>
      </c>
      <c r="F30" s="5"/>
    </row>
    <row r="31" spans="1:15" x14ac:dyDescent="0.2">
      <c r="A31" s="2">
        <v>1.45</v>
      </c>
      <c r="B31" s="5">
        <v>3.57</v>
      </c>
      <c r="C31" s="5">
        <v>3.65</v>
      </c>
      <c r="D31" s="5">
        <v>3.74</v>
      </c>
      <c r="E31" s="5">
        <v>3.82</v>
      </c>
      <c r="F31" s="5"/>
    </row>
    <row r="32" spans="1:15" x14ac:dyDescent="0.2">
      <c r="A32" s="2">
        <v>1.5</v>
      </c>
      <c r="B32" s="5">
        <v>3.84</v>
      </c>
      <c r="C32" s="5">
        <v>3.92</v>
      </c>
      <c r="D32" s="5">
        <v>4</v>
      </c>
      <c r="E32" s="5">
        <v>4.08</v>
      </c>
      <c r="F32" s="5"/>
      <c r="K32" s="2"/>
      <c r="L32" s="2"/>
    </row>
    <row r="33" spans="1:12" x14ac:dyDescent="0.2">
      <c r="A33" s="2">
        <v>1.55</v>
      </c>
      <c r="B33" s="5">
        <v>4.1100000000000003</v>
      </c>
      <c r="C33" s="5">
        <v>4.1900000000000004</v>
      </c>
      <c r="D33" s="5">
        <v>4.2699999999999996</v>
      </c>
      <c r="E33" s="5">
        <v>4.34</v>
      </c>
      <c r="F33" s="5"/>
      <c r="K33" s="2"/>
      <c r="L33" s="2"/>
    </row>
    <row r="34" spans="1:12" x14ac:dyDescent="0.2">
      <c r="A34" s="2">
        <v>1.6</v>
      </c>
      <c r="B34" s="5">
        <v>4.38</v>
      </c>
      <c r="C34" s="5">
        <v>4.46</v>
      </c>
      <c r="D34" s="5">
        <v>4.53</v>
      </c>
      <c r="E34" s="5">
        <v>4.63</v>
      </c>
      <c r="F34" s="5"/>
      <c r="K34" s="2"/>
      <c r="L34" s="2"/>
    </row>
    <row r="35" spans="1:12" x14ac:dyDescent="0.2">
      <c r="A35" s="2">
        <v>1.65</v>
      </c>
      <c r="B35" s="5">
        <v>4.66</v>
      </c>
      <c r="C35" s="5">
        <v>4.7300000000000004</v>
      </c>
      <c r="D35" s="5">
        <v>4.84</v>
      </c>
      <c r="E35" s="5">
        <v>4.9400000000000004</v>
      </c>
      <c r="F35" s="5"/>
      <c r="K35" s="2"/>
      <c r="L35" s="2"/>
    </row>
    <row r="36" spans="1:12" x14ac:dyDescent="0.2">
      <c r="A36" s="2">
        <v>1.7</v>
      </c>
      <c r="B36" s="5">
        <v>4.9400000000000004</v>
      </c>
      <c r="C36" s="5">
        <v>5.05</v>
      </c>
      <c r="D36" s="5">
        <v>5.15</v>
      </c>
      <c r="E36" s="5">
        <v>5.25</v>
      </c>
      <c r="F36" s="5"/>
      <c r="K36" s="2"/>
      <c r="L36" s="2"/>
    </row>
    <row r="37" spans="1:12" x14ac:dyDescent="0.2">
      <c r="A37" s="2">
        <v>1.75</v>
      </c>
      <c r="B37" s="5">
        <v>5.26</v>
      </c>
      <c r="C37" s="5">
        <v>5.36</v>
      </c>
      <c r="D37" s="5">
        <v>5.46</v>
      </c>
      <c r="E37" s="5">
        <v>5.56</v>
      </c>
      <c r="F37" s="5"/>
      <c r="K37" s="2"/>
      <c r="L37" s="2"/>
    </row>
    <row r="38" spans="1:12" x14ac:dyDescent="0.2">
      <c r="A38" s="2">
        <v>1.8</v>
      </c>
      <c r="B38" s="5">
        <v>5.58</v>
      </c>
      <c r="C38" s="5">
        <v>5.68</v>
      </c>
      <c r="D38" s="5">
        <v>5.77</v>
      </c>
      <c r="E38" s="5">
        <v>5.87</v>
      </c>
      <c r="F38" s="5"/>
      <c r="K38" s="2"/>
      <c r="L38" s="2"/>
    </row>
    <row r="39" spans="1:12" x14ac:dyDescent="0.2">
      <c r="A39" s="2">
        <v>1.85</v>
      </c>
      <c r="B39" s="5">
        <v>5.9</v>
      </c>
      <c r="C39" s="5">
        <v>6</v>
      </c>
      <c r="D39" s="5">
        <v>6.09</v>
      </c>
      <c r="E39" s="5">
        <v>6.2</v>
      </c>
      <c r="F39" s="5"/>
      <c r="K39" s="2"/>
      <c r="L39" s="2"/>
    </row>
    <row r="40" spans="1:12" x14ac:dyDescent="0.2">
      <c r="A40" s="2">
        <v>1.9</v>
      </c>
      <c r="B40" s="5">
        <v>6.22</v>
      </c>
      <c r="C40" s="5">
        <v>6.31</v>
      </c>
      <c r="D40" s="5">
        <v>6.43</v>
      </c>
      <c r="E40" s="5">
        <v>6.55</v>
      </c>
      <c r="F40" s="5"/>
      <c r="K40" s="2"/>
      <c r="L40" s="2"/>
    </row>
    <row r="41" spans="1:12" x14ac:dyDescent="0.2">
      <c r="A41" s="2">
        <v>1.95</v>
      </c>
      <c r="B41" s="5">
        <v>6.55</v>
      </c>
      <c r="C41" s="5">
        <v>6.67</v>
      </c>
      <c r="D41" s="5">
        <v>6.79</v>
      </c>
      <c r="E41" s="5">
        <v>6.9</v>
      </c>
      <c r="F41" s="5"/>
      <c r="K41" s="2"/>
      <c r="L41" s="2"/>
    </row>
    <row r="42" spans="1:12" x14ac:dyDescent="0.2">
      <c r="A42" s="2">
        <v>2</v>
      </c>
      <c r="B42" s="5">
        <v>6.91</v>
      </c>
      <c r="C42" s="5">
        <v>7.03</v>
      </c>
      <c r="D42" s="5">
        <v>7.15</v>
      </c>
      <c r="E42" s="5">
        <v>7.26</v>
      </c>
      <c r="F42" s="5"/>
      <c r="K42" s="2"/>
      <c r="L42" s="2"/>
    </row>
    <row r="43" spans="1:12" x14ac:dyDescent="0.2">
      <c r="A43" s="2">
        <v>2.0499999999999998</v>
      </c>
      <c r="B43" s="5">
        <v>7.28</v>
      </c>
      <c r="C43" s="5">
        <v>7.39</v>
      </c>
      <c r="D43" s="5">
        <v>7.5</v>
      </c>
      <c r="E43" s="5">
        <v>7.61</v>
      </c>
      <c r="F43" s="5"/>
      <c r="K43" s="2"/>
      <c r="L43" s="2"/>
    </row>
    <row r="44" spans="1:12" x14ac:dyDescent="0.2">
      <c r="A44" s="2">
        <v>2.1</v>
      </c>
      <c r="B44" s="5">
        <v>7.64</v>
      </c>
      <c r="C44" s="5">
        <v>7.75</v>
      </c>
      <c r="D44" s="5">
        <v>7.86</v>
      </c>
      <c r="E44" s="5">
        <v>7.99</v>
      </c>
      <c r="F44" s="5"/>
      <c r="K44" s="2"/>
      <c r="L44" s="2"/>
    </row>
    <row r="45" spans="1:12" x14ac:dyDescent="0.2">
      <c r="A45" s="2">
        <v>2.15</v>
      </c>
      <c r="B45" s="5">
        <v>8</v>
      </c>
      <c r="C45" s="5">
        <v>8.11</v>
      </c>
      <c r="D45" s="5">
        <v>8.24</v>
      </c>
      <c r="E45" s="5">
        <v>8.3800000000000008</v>
      </c>
      <c r="F45" s="5"/>
      <c r="K45" s="2"/>
      <c r="L45" s="2"/>
    </row>
    <row r="46" spans="1:12" x14ac:dyDescent="0.2">
      <c r="A46" s="2">
        <v>2.2000000000000002</v>
      </c>
      <c r="B46" s="5">
        <v>8.3699999999999992</v>
      </c>
      <c r="C46" s="5">
        <v>8.51</v>
      </c>
      <c r="D46" s="5">
        <v>8.64</v>
      </c>
      <c r="E46" s="5">
        <v>8.77</v>
      </c>
      <c r="F46" s="5"/>
      <c r="K46" s="2"/>
      <c r="L46" s="2"/>
    </row>
    <row r="47" spans="1:12" x14ac:dyDescent="0.2">
      <c r="A47" s="2">
        <v>2.25</v>
      </c>
      <c r="B47" s="5">
        <v>8.77</v>
      </c>
      <c r="C47" s="5">
        <v>8.9</v>
      </c>
      <c r="D47" s="5">
        <v>9.0299999999999994</v>
      </c>
      <c r="E47" s="5">
        <v>9.16</v>
      </c>
      <c r="F47" s="5"/>
      <c r="K47" s="2"/>
      <c r="L47" s="2"/>
    </row>
    <row r="48" spans="1:12" x14ac:dyDescent="0.2">
      <c r="A48" s="2">
        <v>2.2999999999999998</v>
      </c>
      <c r="B48" s="5">
        <v>9.17</v>
      </c>
      <c r="C48" s="5">
        <v>9.3000000000000007</v>
      </c>
      <c r="D48" s="5">
        <v>9.42</v>
      </c>
      <c r="E48" s="5">
        <v>9.5500000000000007</v>
      </c>
      <c r="F48" s="5"/>
      <c r="K48" s="2"/>
      <c r="L48" s="2"/>
    </row>
    <row r="49" spans="1:12" x14ac:dyDescent="0.2">
      <c r="A49" s="2">
        <v>2.35</v>
      </c>
      <c r="B49" s="5">
        <v>9.57</v>
      </c>
      <c r="C49" s="5">
        <v>9.69</v>
      </c>
      <c r="D49" s="5">
        <v>9.82</v>
      </c>
      <c r="E49" s="5">
        <v>9.9600000000000009</v>
      </c>
      <c r="F49" s="5"/>
      <c r="K49" s="2"/>
      <c r="L49" s="2"/>
    </row>
    <row r="50" spans="1:12" x14ac:dyDescent="0.2">
      <c r="A50" s="2">
        <v>2.4</v>
      </c>
      <c r="B50" s="5">
        <v>9.9600000000000009</v>
      </c>
      <c r="C50" s="5">
        <v>10.09</v>
      </c>
      <c r="D50" s="5">
        <v>10.24</v>
      </c>
      <c r="E50" s="5">
        <v>10.38</v>
      </c>
      <c r="F50" s="5"/>
      <c r="K50" s="2"/>
      <c r="L50" s="2"/>
    </row>
    <row r="51" spans="1:12" x14ac:dyDescent="0.2">
      <c r="A51" s="2">
        <v>2.4500000000000002</v>
      </c>
      <c r="B51" s="5">
        <v>10.37</v>
      </c>
      <c r="C51" s="5">
        <v>10.52</v>
      </c>
      <c r="D51" s="5">
        <v>10.66</v>
      </c>
      <c r="E51" s="5">
        <v>10.81</v>
      </c>
      <c r="F51" s="5"/>
    </row>
    <row r="52" spans="1:12" x14ac:dyDescent="0.2">
      <c r="A52" s="2">
        <v>2.5</v>
      </c>
      <c r="B52" s="5">
        <v>10.8</v>
      </c>
      <c r="C52" s="5">
        <v>10.94</v>
      </c>
      <c r="D52" s="5">
        <v>11.09</v>
      </c>
      <c r="E52" s="5">
        <v>11.23</v>
      </c>
      <c r="F52" s="5"/>
    </row>
    <row r="53" spans="1:12" x14ac:dyDescent="0.2">
      <c r="A53" s="2">
        <v>2.5499999999999998</v>
      </c>
      <c r="B53" s="5">
        <v>11.23</v>
      </c>
      <c r="C53" s="5">
        <v>11.37</v>
      </c>
      <c r="D53" s="5">
        <v>11.51</v>
      </c>
      <c r="E53" s="5">
        <v>11.65</v>
      </c>
      <c r="F53" s="5"/>
    </row>
    <row r="54" spans="1:12" x14ac:dyDescent="0.2">
      <c r="A54" s="2">
        <v>2.6</v>
      </c>
      <c r="B54" s="5">
        <v>11.66</v>
      </c>
      <c r="C54" s="5">
        <v>11.8</v>
      </c>
      <c r="D54" s="5">
        <v>11.94</v>
      </c>
      <c r="E54" s="5">
        <v>12.09</v>
      </c>
      <c r="F54" s="5"/>
    </row>
    <row r="55" spans="1:12" x14ac:dyDescent="0.2">
      <c r="A55" s="2">
        <v>2.65</v>
      </c>
      <c r="B55" s="5">
        <v>12.08</v>
      </c>
      <c r="C55" s="5">
        <v>12.23</v>
      </c>
      <c r="D55" s="5">
        <v>12.38</v>
      </c>
      <c r="E55" s="5">
        <v>12.54</v>
      </c>
      <c r="F55" s="5"/>
    </row>
    <row r="56" spans="1:12" x14ac:dyDescent="0.2">
      <c r="A56" s="2">
        <v>2.7</v>
      </c>
      <c r="B56" s="5">
        <v>12.52</v>
      </c>
      <c r="C56" s="5">
        <v>12.68</v>
      </c>
      <c r="D56" s="5">
        <v>12.882999999999999</v>
      </c>
      <c r="E56" s="5">
        <v>12.98</v>
      </c>
      <c r="F56" s="5"/>
    </row>
    <row r="57" spans="1:12" x14ac:dyDescent="0.2">
      <c r="A57" s="2">
        <v>2.75</v>
      </c>
      <c r="B57" s="5">
        <v>12.97</v>
      </c>
      <c r="C57" s="5">
        <v>13.13</v>
      </c>
      <c r="D57" s="5">
        <v>13.27</v>
      </c>
      <c r="E57" s="5">
        <v>13.43</v>
      </c>
      <c r="F57" s="5"/>
    </row>
    <row r="58" spans="1:12" x14ac:dyDescent="0.2">
      <c r="A58" s="2">
        <v>2.8</v>
      </c>
      <c r="B58" s="5">
        <v>13.42</v>
      </c>
      <c r="C58" s="5">
        <v>13.57</v>
      </c>
      <c r="D58" s="5">
        <v>13.72</v>
      </c>
      <c r="E58" s="5">
        <v>13.88</v>
      </c>
      <c r="F58" s="5"/>
    </row>
    <row r="59" spans="1:12" x14ac:dyDescent="0.2">
      <c r="A59" s="2">
        <v>2.85</v>
      </c>
      <c r="B59" s="5">
        <v>13.87</v>
      </c>
      <c r="C59" s="5">
        <v>14.02</v>
      </c>
      <c r="D59" s="5">
        <v>14.17</v>
      </c>
      <c r="E59" s="5">
        <v>14.33</v>
      </c>
      <c r="F59" s="5"/>
    </row>
    <row r="60" spans="1:12" x14ac:dyDescent="0.2">
      <c r="A60" s="2">
        <v>2.9</v>
      </c>
      <c r="B60" s="5">
        <v>14.32</v>
      </c>
      <c r="C60" s="5">
        <v>14.47</v>
      </c>
      <c r="D60" s="5">
        <v>14.63</v>
      </c>
      <c r="E60" s="5">
        <v>14.79</v>
      </c>
      <c r="F60" s="5"/>
    </row>
    <row r="61" spans="1:12" x14ac:dyDescent="0.2">
      <c r="A61" s="2">
        <v>2.95</v>
      </c>
      <c r="B61" s="5">
        <v>14.78</v>
      </c>
      <c r="C61" s="5">
        <v>14.94</v>
      </c>
      <c r="D61" s="5">
        <v>15.1</v>
      </c>
      <c r="E61" s="5">
        <v>15.26</v>
      </c>
      <c r="F61" s="5"/>
    </row>
    <row r="62" spans="1:12" x14ac:dyDescent="0.2">
      <c r="A62" s="2">
        <v>3</v>
      </c>
      <c r="B62" s="5">
        <v>15.25</v>
      </c>
      <c r="C62" s="5">
        <v>15.4</v>
      </c>
      <c r="D62" s="5">
        <v>15.56</v>
      </c>
      <c r="E62" s="5">
        <v>15.72</v>
      </c>
      <c r="F62" s="5"/>
    </row>
    <row r="63" spans="1:12" x14ac:dyDescent="0.2">
      <c r="A63" s="2">
        <v>3.05</v>
      </c>
      <c r="B63" s="5">
        <v>15.71</v>
      </c>
      <c r="C63" s="5">
        <v>15.87</v>
      </c>
      <c r="D63" s="5">
        <v>16.03</v>
      </c>
      <c r="E63" s="5">
        <v>16.18</v>
      </c>
      <c r="F63" s="5"/>
    </row>
    <row r="64" spans="1:12" x14ac:dyDescent="0.2">
      <c r="A64" s="2">
        <v>3.1</v>
      </c>
      <c r="B64" s="5">
        <v>16.18</v>
      </c>
      <c r="C64" s="5">
        <v>16.329999999999998</v>
      </c>
      <c r="D64" s="5">
        <v>16.489999999999998</v>
      </c>
      <c r="E64" s="5">
        <v>16.66</v>
      </c>
      <c r="F64" s="5"/>
    </row>
    <row r="65" spans="1:6" x14ac:dyDescent="0.2">
      <c r="A65" s="2">
        <v>3.15</v>
      </c>
      <c r="B65" s="5">
        <v>16.64</v>
      </c>
      <c r="C65" s="5">
        <v>16.8</v>
      </c>
      <c r="D65" s="5">
        <v>16.96</v>
      </c>
      <c r="E65" s="5">
        <v>17.13</v>
      </c>
      <c r="F65" s="5"/>
    </row>
    <row r="66" spans="1:6" x14ac:dyDescent="0.2">
      <c r="A66" s="2">
        <v>3.2</v>
      </c>
      <c r="B66" s="5">
        <v>17.11</v>
      </c>
      <c r="C66" s="5">
        <v>17.27</v>
      </c>
      <c r="D66" s="5">
        <v>17.440000000000001</v>
      </c>
      <c r="E66" s="5">
        <v>17.600000000000001</v>
      </c>
      <c r="F66" s="5"/>
    </row>
    <row r="67" spans="1:6" x14ac:dyDescent="0.2">
      <c r="A67" s="2">
        <v>3.25</v>
      </c>
      <c r="B67" s="5">
        <v>17.579999999999998</v>
      </c>
      <c r="C67" s="5">
        <v>17.75</v>
      </c>
      <c r="D67" s="5">
        <v>17.91</v>
      </c>
      <c r="E67" s="5">
        <v>18.079999999999998</v>
      </c>
      <c r="F67" s="5"/>
    </row>
    <row r="68" spans="1:6" x14ac:dyDescent="0.2">
      <c r="A68" s="2">
        <v>3.3</v>
      </c>
      <c r="B68" s="5">
        <v>18.059999999999999</v>
      </c>
      <c r="C68" s="5">
        <v>18.22</v>
      </c>
      <c r="D68" s="5">
        <v>18.39</v>
      </c>
      <c r="E68" s="5">
        <v>18.55</v>
      </c>
      <c r="F68" s="5"/>
    </row>
    <row r="69" spans="1:6" x14ac:dyDescent="0.2">
      <c r="A69" s="2">
        <v>3.35</v>
      </c>
      <c r="B69" s="5">
        <v>18.53</v>
      </c>
      <c r="C69" s="5">
        <v>18.7</v>
      </c>
      <c r="D69" s="5">
        <v>18.86</v>
      </c>
      <c r="E69" s="5">
        <v>19.03</v>
      </c>
      <c r="F69" s="5"/>
    </row>
    <row r="70" spans="1:6" x14ac:dyDescent="0.2">
      <c r="A70" s="2">
        <v>3.4</v>
      </c>
      <c r="B70" s="5">
        <v>19.010000000000002</v>
      </c>
      <c r="C70" s="5">
        <v>19.170000000000002</v>
      </c>
      <c r="D70" s="5">
        <v>19.34</v>
      </c>
      <c r="E70" s="5">
        <v>19.510000000000002</v>
      </c>
      <c r="F70" s="5"/>
    </row>
    <row r="71" spans="1:6" x14ac:dyDescent="0.2">
      <c r="A71" s="2">
        <v>3.45</v>
      </c>
      <c r="B71" s="5">
        <v>19.489999999999998</v>
      </c>
      <c r="C71" s="5">
        <v>19.649999999999999</v>
      </c>
      <c r="D71" s="5">
        <v>19.82</v>
      </c>
      <c r="E71" s="5">
        <v>19.989999999999998</v>
      </c>
      <c r="F71" s="5"/>
    </row>
    <row r="72" spans="1:6" x14ac:dyDescent="0.2">
      <c r="A72" s="2">
        <v>3.5</v>
      </c>
      <c r="B72" s="5">
        <v>19.97</v>
      </c>
      <c r="C72" s="5">
        <v>20.13</v>
      </c>
      <c r="D72" s="5">
        <v>20.3</v>
      </c>
      <c r="E72" s="5">
        <v>20.47</v>
      </c>
      <c r="F72" s="5"/>
    </row>
    <row r="73" spans="1:6" x14ac:dyDescent="0.2">
      <c r="A73" s="2">
        <v>3.55</v>
      </c>
      <c r="B73" s="5">
        <v>20.45</v>
      </c>
      <c r="C73" s="5">
        <v>20.62</v>
      </c>
      <c r="D73" s="5">
        <v>20.78</v>
      </c>
      <c r="E73" s="5">
        <v>20.95</v>
      </c>
      <c r="F73" s="5"/>
    </row>
    <row r="74" spans="1:6" x14ac:dyDescent="0.2">
      <c r="A74" s="2">
        <v>3.6</v>
      </c>
      <c r="B74" s="5">
        <v>20.93</v>
      </c>
      <c r="C74" s="5">
        <v>21.1</v>
      </c>
      <c r="D74" s="5">
        <v>21.26</v>
      </c>
      <c r="E74" s="5">
        <v>21.43</v>
      </c>
      <c r="F74" s="5"/>
    </row>
    <row r="75" spans="1:6" x14ac:dyDescent="0.2">
      <c r="A75" s="2">
        <v>3.65</v>
      </c>
      <c r="B75" s="5">
        <v>21.41</v>
      </c>
      <c r="C75" s="5">
        <v>21.58</v>
      </c>
      <c r="D75" s="5">
        <v>21.74</v>
      </c>
      <c r="E75" s="5">
        <v>21.92</v>
      </c>
      <c r="F75" s="5"/>
    </row>
    <row r="76" spans="1:6" x14ac:dyDescent="0.2">
      <c r="A76" s="2">
        <v>3.7</v>
      </c>
      <c r="B76" s="5">
        <v>21.89</v>
      </c>
      <c r="C76" s="5">
        <v>22.06</v>
      </c>
      <c r="D76" s="5">
        <v>22.23</v>
      </c>
      <c r="E76" s="5">
        <v>22.4</v>
      </c>
      <c r="F76" s="5"/>
    </row>
    <row r="77" spans="1:6" x14ac:dyDescent="0.2">
      <c r="A77" s="2">
        <v>3.75</v>
      </c>
      <c r="B77" s="5">
        <v>22.37</v>
      </c>
      <c r="C77" s="5">
        <v>22.55</v>
      </c>
      <c r="D77" s="5">
        <v>22.71</v>
      </c>
      <c r="E77" s="5">
        <v>22.89</v>
      </c>
      <c r="F77" s="5"/>
    </row>
    <row r="78" spans="1:6" x14ac:dyDescent="0.2">
      <c r="A78" s="2">
        <v>3.8</v>
      </c>
      <c r="B78" s="5">
        <v>22.86</v>
      </c>
      <c r="C78" s="5">
        <v>23.03</v>
      </c>
      <c r="D78" s="5">
        <v>23.2</v>
      </c>
      <c r="E78" s="5">
        <v>23.37</v>
      </c>
      <c r="F78" s="5"/>
    </row>
    <row r="79" spans="1:6" x14ac:dyDescent="0.2">
      <c r="A79" s="2">
        <v>3.85</v>
      </c>
      <c r="B79" s="5">
        <v>23.34</v>
      </c>
      <c r="C79" s="5">
        <v>23.52</v>
      </c>
      <c r="D79" s="5">
        <v>23.68</v>
      </c>
      <c r="E79" s="5">
        <v>23.85</v>
      </c>
      <c r="F79" s="5"/>
    </row>
    <row r="80" spans="1:6" x14ac:dyDescent="0.2">
      <c r="A80" s="2">
        <v>3.9</v>
      </c>
      <c r="B80" s="5">
        <v>23.83</v>
      </c>
      <c r="C80" s="5">
        <v>24</v>
      </c>
      <c r="D80" s="5">
        <v>24.17</v>
      </c>
      <c r="E80" s="5">
        <v>24.34</v>
      </c>
      <c r="F80" s="5"/>
    </row>
    <row r="81" spans="1:6" x14ac:dyDescent="0.2">
      <c r="A81" s="2">
        <v>3.95</v>
      </c>
      <c r="B81" s="5">
        <v>24.32</v>
      </c>
      <c r="C81" s="5">
        <v>24.49</v>
      </c>
      <c r="D81" s="5">
        <v>24.66</v>
      </c>
      <c r="E81" s="5">
        <v>24.82</v>
      </c>
      <c r="F81" s="5"/>
    </row>
    <row r="82" spans="1:6" x14ac:dyDescent="0.2">
      <c r="A82" s="2">
        <v>4</v>
      </c>
      <c r="B82" s="5">
        <v>24.81</v>
      </c>
      <c r="C82" s="5">
        <v>24.97</v>
      </c>
      <c r="D82" s="5">
        <v>25.15</v>
      </c>
      <c r="E82" s="5">
        <v>25.31</v>
      </c>
      <c r="F82" s="5"/>
    </row>
    <row r="83" spans="1:6" x14ac:dyDescent="0.2">
      <c r="A83" s="2">
        <v>4.05</v>
      </c>
      <c r="B83" s="5">
        <v>25.3</v>
      </c>
      <c r="C83" s="5">
        <v>25.46</v>
      </c>
      <c r="D83" s="5">
        <v>25.63</v>
      </c>
      <c r="E83" s="5">
        <v>25.8</v>
      </c>
      <c r="F83" s="5"/>
    </row>
    <row r="84" spans="1:6" x14ac:dyDescent="0.2">
      <c r="A84" s="2">
        <v>4.0999999999999996</v>
      </c>
      <c r="B84" s="5">
        <v>25.78</v>
      </c>
      <c r="C84" s="5">
        <v>25.95</v>
      </c>
      <c r="D84" s="5">
        <v>26.12</v>
      </c>
      <c r="E84" s="5">
        <v>26.29</v>
      </c>
      <c r="F84" s="5"/>
    </row>
    <row r="85" spans="1:6" x14ac:dyDescent="0.2">
      <c r="A85" s="2">
        <v>4.1500000000000004</v>
      </c>
      <c r="B85" s="5">
        <v>26.27</v>
      </c>
      <c r="C85" s="5">
        <v>26.44</v>
      </c>
      <c r="D85" s="5">
        <v>26.61</v>
      </c>
      <c r="E85" s="5">
        <v>26.78</v>
      </c>
      <c r="F85" s="5"/>
    </row>
    <row r="86" spans="1:6" x14ac:dyDescent="0.2">
      <c r="A86" s="2">
        <v>4.2</v>
      </c>
      <c r="B86" s="5">
        <v>26.75</v>
      </c>
      <c r="C86" s="5">
        <v>26.92</v>
      </c>
      <c r="D86" s="5">
        <v>27.1</v>
      </c>
      <c r="E86" s="5">
        <v>27.27</v>
      </c>
      <c r="F86" s="5"/>
    </row>
    <row r="87" spans="1:6" x14ac:dyDescent="0.2">
      <c r="A87" s="2">
        <v>4.25</v>
      </c>
      <c r="B87" s="5">
        <v>27.24</v>
      </c>
      <c r="C87" s="5">
        <v>27.41</v>
      </c>
      <c r="D87" s="5">
        <v>27.58</v>
      </c>
      <c r="E87" s="5">
        <v>27.75</v>
      </c>
      <c r="F87" s="5"/>
    </row>
    <row r="88" spans="1:6" x14ac:dyDescent="0.2">
      <c r="A88" s="2">
        <v>4.3</v>
      </c>
      <c r="B88" s="5">
        <v>27.73</v>
      </c>
      <c r="C88" s="5">
        <v>27.9</v>
      </c>
      <c r="D88" s="5">
        <v>28.07</v>
      </c>
      <c r="E88" s="5">
        <v>28.24</v>
      </c>
      <c r="F88" s="5"/>
    </row>
    <row r="89" spans="1:6" x14ac:dyDescent="0.2">
      <c r="A89" s="2">
        <v>4.3499999999999996</v>
      </c>
      <c r="B89" s="5">
        <v>28.22</v>
      </c>
      <c r="C89" s="5">
        <v>28.39</v>
      </c>
      <c r="D89" s="5">
        <v>28.56</v>
      </c>
      <c r="E89" s="5">
        <v>28.73</v>
      </c>
      <c r="F89" s="5"/>
    </row>
    <row r="90" spans="1:6" x14ac:dyDescent="0.2">
      <c r="A90" s="2">
        <v>4.4000000000000004</v>
      </c>
      <c r="B90" s="5">
        <v>28.71</v>
      </c>
      <c r="C90" s="5">
        <v>28.88</v>
      </c>
      <c r="D90" s="5">
        <v>29.05</v>
      </c>
      <c r="E90" s="5">
        <v>29.22</v>
      </c>
      <c r="F90" s="5"/>
    </row>
    <row r="91" spans="1:6" x14ac:dyDescent="0.2">
      <c r="A91" s="2">
        <v>4.45</v>
      </c>
      <c r="B91" s="5">
        <v>29.2</v>
      </c>
      <c r="C91" s="5">
        <v>29.37</v>
      </c>
      <c r="D91" s="5">
        <v>29.54</v>
      </c>
      <c r="E91" s="5">
        <v>29.71</v>
      </c>
      <c r="F91" s="5"/>
    </row>
    <row r="92" spans="1:6" x14ac:dyDescent="0.2">
      <c r="A92" s="2">
        <v>4.5</v>
      </c>
      <c r="B92" s="5">
        <v>29.69</v>
      </c>
      <c r="C92" s="5">
        <v>29.86</v>
      </c>
      <c r="D92" s="5">
        <v>30.03</v>
      </c>
      <c r="E92" s="5">
        <v>30.2</v>
      </c>
      <c r="F92" s="5"/>
    </row>
    <row r="93" spans="1:6" x14ac:dyDescent="0.2">
      <c r="A93" s="2">
        <v>4.55</v>
      </c>
      <c r="B93" s="5">
        <v>30.17</v>
      </c>
      <c r="C93" s="5">
        <v>30.35</v>
      </c>
      <c r="D93" s="5">
        <v>30.52</v>
      </c>
      <c r="E93" s="5">
        <v>30.69</v>
      </c>
      <c r="F93" s="5"/>
    </row>
    <row r="94" spans="1:6" x14ac:dyDescent="0.2">
      <c r="A94" s="2">
        <v>4.5999999999999996</v>
      </c>
      <c r="B94" s="5">
        <v>30.66</v>
      </c>
      <c r="C94" s="5">
        <v>30.84</v>
      </c>
      <c r="D94" s="5">
        <v>31.01</v>
      </c>
      <c r="E94" s="5">
        <v>31.18</v>
      </c>
      <c r="F94" s="5"/>
    </row>
    <row r="95" spans="1:6" x14ac:dyDescent="0.2">
      <c r="A95" s="2">
        <v>4.6500000000000004</v>
      </c>
      <c r="B95" s="5">
        <v>31.15</v>
      </c>
      <c r="C95" s="5">
        <v>31.33</v>
      </c>
      <c r="D95" s="5">
        <v>31.49</v>
      </c>
      <c r="E95" s="5">
        <v>31.67</v>
      </c>
      <c r="F95" s="5"/>
    </row>
    <row r="96" spans="1:6" x14ac:dyDescent="0.2">
      <c r="A96" s="2">
        <v>4.7</v>
      </c>
      <c r="B96" s="5">
        <v>31.64</v>
      </c>
      <c r="C96" s="5">
        <v>31.82</v>
      </c>
      <c r="D96" s="5">
        <v>31.98</v>
      </c>
      <c r="E96" s="5">
        <v>32.159999999999997</v>
      </c>
      <c r="F96" s="5"/>
    </row>
    <row r="97" spans="1:6" x14ac:dyDescent="0.2">
      <c r="A97" s="2">
        <v>4.75</v>
      </c>
      <c r="B97" s="5">
        <v>32.130000000000003</v>
      </c>
      <c r="C97" s="5">
        <v>32.299999999999997</v>
      </c>
      <c r="D97" s="5">
        <v>32.47</v>
      </c>
      <c r="E97" s="5">
        <v>32.65</v>
      </c>
      <c r="F97" s="5"/>
    </row>
    <row r="98" spans="1:6" x14ac:dyDescent="0.2">
      <c r="A98" s="2">
        <v>4.8</v>
      </c>
      <c r="B98" s="5">
        <v>32.619999999999997</v>
      </c>
      <c r="C98" s="5">
        <v>32.79</v>
      </c>
      <c r="D98" s="5">
        <v>32.96</v>
      </c>
      <c r="E98" s="5">
        <v>33.14</v>
      </c>
      <c r="F98" s="5"/>
    </row>
    <row r="99" spans="1:6" x14ac:dyDescent="0.2">
      <c r="A99" s="2">
        <v>4.8499999999999996</v>
      </c>
      <c r="B99" s="5">
        <v>33.1</v>
      </c>
      <c r="C99" s="5">
        <v>33.28</v>
      </c>
      <c r="D99" s="5">
        <v>33.450000000000003</v>
      </c>
      <c r="E99" s="5">
        <v>33.619999999999997</v>
      </c>
      <c r="F99" s="5"/>
    </row>
    <row r="100" spans="1:6" x14ac:dyDescent="0.2">
      <c r="A100" s="2">
        <v>4.9000000000000004</v>
      </c>
      <c r="B100" s="5">
        <v>33.590000000000003</v>
      </c>
      <c r="C100" s="5">
        <v>33.770000000000003</v>
      </c>
      <c r="D100" s="5">
        <v>33.94</v>
      </c>
      <c r="E100" s="5">
        <v>34.11</v>
      </c>
      <c r="F100" s="5"/>
    </row>
    <row r="101" spans="1:6" x14ac:dyDescent="0.2">
      <c r="A101" s="2">
        <v>4.95</v>
      </c>
      <c r="B101" s="5">
        <v>34.090000000000003</v>
      </c>
      <c r="C101" s="5">
        <v>34.26</v>
      </c>
      <c r="D101" s="5">
        <v>34.43</v>
      </c>
      <c r="E101" s="5">
        <v>34.6</v>
      </c>
      <c r="F101" s="5"/>
    </row>
    <row r="102" spans="1:6" x14ac:dyDescent="0.2">
      <c r="A102" s="2">
        <v>5</v>
      </c>
      <c r="B102" s="5">
        <v>34.58</v>
      </c>
      <c r="C102" s="5">
        <v>34.75</v>
      </c>
      <c r="D102" s="5">
        <v>34.92</v>
      </c>
      <c r="E102" s="5">
        <v>35.090000000000003</v>
      </c>
      <c r="F102" s="5"/>
    </row>
    <row r="103" spans="1:6" x14ac:dyDescent="0.2">
      <c r="A103" s="2">
        <v>5.05</v>
      </c>
      <c r="B103" s="5">
        <v>35.07</v>
      </c>
      <c r="C103" s="5">
        <v>35.24</v>
      </c>
      <c r="D103" s="5">
        <v>35.409999999999997</v>
      </c>
      <c r="E103" s="5">
        <v>35.57</v>
      </c>
      <c r="F103" s="5"/>
    </row>
    <row r="104" spans="1:6" x14ac:dyDescent="0.2">
      <c r="A104" s="2">
        <v>5.0999999999999996</v>
      </c>
      <c r="B104" s="5">
        <v>35.56</v>
      </c>
      <c r="C104" s="5">
        <v>35.729999999999997</v>
      </c>
      <c r="D104" s="5">
        <v>35.9</v>
      </c>
      <c r="E104" s="5">
        <v>36.07</v>
      </c>
      <c r="F104" s="5"/>
    </row>
    <row r="105" spans="1:6" x14ac:dyDescent="0.2">
      <c r="A105" s="2">
        <v>5.15</v>
      </c>
      <c r="B105" s="5">
        <v>36.049999999999997</v>
      </c>
      <c r="C105" s="5">
        <v>36.22</v>
      </c>
      <c r="D105" s="5">
        <v>36.39</v>
      </c>
      <c r="E105" s="5">
        <v>36.56</v>
      </c>
      <c r="F105" s="5"/>
    </row>
    <row r="106" spans="1:6" x14ac:dyDescent="0.2">
      <c r="A106" s="2">
        <v>5.2</v>
      </c>
      <c r="B106" s="5">
        <v>36.53</v>
      </c>
      <c r="C106" s="5">
        <v>36.71</v>
      </c>
      <c r="D106" s="5">
        <v>36.880000000000003</v>
      </c>
      <c r="E106" s="5">
        <v>37.049999999999997</v>
      </c>
      <c r="F106" s="5"/>
    </row>
    <row r="107" spans="1:6" x14ac:dyDescent="0.2">
      <c r="A107" s="2">
        <v>5.25</v>
      </c>
      <c r="B107" s="5">
        <v>37.020000000000003</v>
      </c>
      <c r="C107" s="5">
        <v>37.19</v>
      </c>
      <c r="D107" s="5">
        <v>37.369999999999997</v>
      </c>
      <c r="E107" s="5">
        <v>37.54</v>
      </c>
      <c r="F107" s="5"/>
    </row>
    <row r="108" spans="1:6" x14ac:dyDescent="0.2">
      <c r="A108" s="2">
        <v>5.3</v>
      </c>
      <c r="B108" s="5">
        <v>37.51</v>
      </c>
      <c r="C108" s="5">
        <v>37.68</v>
      </c>
      <c r="D108" s="5">
        <v>37.85</v>
      </c>
      <c r="E108" s="5">
        <v>38.03</v>
      </c>
      <c r="F108" s="5"/>
    </row>
    <row r="109" spans="1:6" x14ac:dyDescent="0.2">
      <c r="A109" s="2">
        <v>5.35</v>
      </c>
      <c r="B109" s="5">
        <v>38</v>
      </c>
      <c r="C109" s="5">
        <v>38.17</v>
      </c>
      <c r="D109" s="5">
        <v>38.340000000000003</v>
      </c>
      <c r="E109" s="5">
        <v>38.51</v>
      </c>
      <c r="F109" s="5"/>
    </row>
    <row r="110" spans="1:6" x14ac:dyDescent="0.2">
      <c r="A110" s="2">
        <v>5.4</v>
      </c>
      <c r="B110" s="5">
        <v>38.49</v>
      </c>
      <c r="C110" s="5">
        <v>38.659999999999997</v>
      </c>
      <c r="D110" s="5">
        <v>38.83</v>
      </c>
      <c r="E110" s="5">
        <v>39</v>
      </c>
      <c r="F110" s="5"/>
    </row>
    <row r="111" spans="1:6" x14ac:dyDescent="0.2">
      <c r="A111" s="2">
        <v>5.45</v>
      </c>
      <c r="B111" s="5">
        <v>38.979999999999997</v>
      </c>
      <c r="C111" s="5">
        <v>39.15</v>
      </c>
      <c r="D111" s="5">
        <v>39.32</v>
      </c>
      <c r="E111" s="5">
        <v>39.49</v>
      </c>
      <c r="F111" s="5"/>
    </row>
    <row r="112" spans="1:6" x14ac:dyDescent="0.2">
      <c r="A112" s="2">
        <v>5.5</v>
      </c>
      <c r="B112" s="5">
        <v>39.47</v>
      </c>
      <c r="C112" s="5">
        <v>39.64</v>
      </c>
      <c r="D112" s="5">
        <v>39.81</v>
      </c>
      <c r="E112" s="5">
        <v>39.979999999999997</v>
      </c>
      <c r="F112" s="5"/>
    </row>
    <row r="113" spans="1:6" x14ac:dyDescent="0.2">
      <c r="A113" s="2">
        <v>5.55</v>
      </c>
      <c r="B113" s="5">
        <v>39.96</v>
      </c>
      <c r="C113" s="5">
        <v>40.130000000000003</v>
      </c>
      <c r="D113" s="5">
        <v>40.299999999999997</v>
      </c>
      <c r="E113" s="5">
        <v>40.47</v>
      </c>
      <c r="F113" s="5"/>
    </row>
    <row r="114" spans="1:6" x14ac:dyDescent="0.2">
      <c r="A114" s="2">
        <v>5.6</v>
      </c>
      <c r="B114" s="5">
        <v>40.450000000000003</v>
      </c>
      <c r="C114" s="5">
        <v>40.619999999999997</v>
      </c>
      <c r="D114" s="5">
        <v>40.79</v>
      </c>
      <c r="E114" s="5">
        <v>40.97</v>
      </c>
      <c r="F114" s="5"/>
    </row>
    <row r="115" spans="1:6" x14ac:dyDescent="0.2">
      <c r="A115" s="2">
        <v>5.65</v>
      </c>
      <c r="B115" s="5">
        <v>40.94</v>
      </c>
      <c r="C115" s="5">
        <v>41.11</v>
      </c>
      <c r="D115" s="5">
        <v>41.27</v>
      </c>
      <c r="E115" s="5">
        <v>41.46</v>
      </c>
      <c r="F115" s="5"/>
    </row>
    <row r="116" spans="1:6" x14ac:dyDescent="0.2">
      <c r="A116" s="2">
        <v>5.7</v>
      </c>
      <c r="B116" s="5">
        <v>41.42</v>
      </c>
      <c r="C116" s="5">
        <v>41.6</v>
      </c>
      <c r="D116" s="5">
        <v>41.76</v>
      </c>
      <c r="E116" s="5">
        <v>41.95</v>
      </c>
      <c r="F116" s="5"/>
    </row>
    <row r="117" spans="1:6" x14ac:dyDescent="0.2">
      <c r="A117" s="2">
        <v>5.75</v>
      </c>
      <c r="B117" s="5">
        <v>41.91</v>
      </c>
      <c r="C117" s="5">
        <v>42.09</v>
      </c>
      <c r="D117" s="5">
        <v>42.25</v>
      </c>
      <c r="E117" s="5">
        <v>42.43</v>
      </c>
      <c r="F117" s="5"/>
    </row>
    <row r="118" spans="1:6" x14ac:dyDescent="0.2">
      <c r="A118" s="2">
        <v>5.8</v>
      </c>
      <c r="B118" s="5">
        <v>42.4</v>
      </c>
      <c r="C118" s="5">
        <v>42.58</v>
      </c>
      <c r="D118" s="5">
        <v>42.74</v>
      </c>
      <c r="E118" s="5">
        <v>42.92</v>
      </c>
      <c r="F118" s="5"/>
    </row>
    <row r="119" spans="1:6" x14ac:dyDescent="0.2">
      <c r="A119" s="2">
        <v>5.85</v>
      </c>
      <c r="B119" s="5">
        <v>42.89</v>
      </c>
      <c r="C119" s="5">
        <v>43.07</v>
      </c>
      <c r="D119" s="5">
        <v>43.23</v>
      </c>
      <c r="E119" s="5">
        <v>43.4</v>
      </c>
      <c r="F119" s="5"/>
    </row>
    <row r="120" spans="1:6" x14ac:dyDescent="0.2">
      <c r="A120" s="2">
        <v>5.9</v>
      </c>
      <c r="B120" s="5">
        <v>43.38</v>
      </c>
      <c r="C120" s="5">
        <v>43.55</v>
      </c>
      <c r="D120" s="5">
        <v>43.73</v>
      </c>
      <c r="E120" s="5">
        <v>43.89</v>
      </c>
      <c r="F120" s="5"/>
    </row>
    <row r="121" spans="1:6" x14ac:dyDescent="0.2">
      <c r="A121" s="2">
        <v>5.95</v>
      </c>
      <c r="B121" s="5">
        <v>43.88</v>
      </c>
      <c r="C121" s="5">
        <v>44.04</v>
      </c>
      <c r="D121" s="5">
        <v>44.22</v>
      </c>
      <c r="E121" s="5">
        <v>44.38</v>
      </c>
      <c r="F121" s="5"/>
    </row>
    <row r="122" spans="1:6" x14ac:dyDescent="0.2">
      <c r="A122" s="2">
        <v>6</v>
      </c>
      <c r="B122" s="5">
        <v>44.37</v>
      </c>
      <c r="C122" s="5">
        <v>44.53</v>
      </c>
      <c r="D122" s="5">
        <v>44.71</v>
      </c>
      <c r="E122" s="5">
        <v>44.87</v>
      </c>
      <c r="F122" s="5"/>
    </row>
    <row r="123" spans="1:6" x14ac:dyDescent="0.2">
      <c r="A123" s="2">
        <v>6.05</v>
      </c>
      <c r="B123" s="5">
        <v>44.86</v>
      </c>
      <c r="C123" s="5">
        <v>45.02</v>
      </c>
      <c r="D123" s="5">
        <v>45.2</v>
      </c>
      <c r="E123" s="5">
        <v>45.36</v>
      </c>
      <c r="F123" s="5"/>
    </row>
    <row r="124" spans="1:6" x14ac:dyDescent="0.2">
      <c r="A124" s="2">
        <v>6.1</v>
      </c>
      <c r="B124" s="5">
        <v>45.35</v>
      </c>
      <c r="C124" s="5">
        <v>45.51</v>
      </c>
      <c r="D124" s="5">
        <v>45.69</v>
      </c>
      <c r="E124" s="5">
        <v>45.85</v>
      </c>
      <c r="F124" s="5"/>
    </row>
    <row r="125" spans="1:6" x14ac:dyDescent="0.2">
      <c r="A125" s="2">
        <v>6.15</v>
      </c>
      <c r="B125" s="5">
        <v>45.84</v>
      </c>
      <c r="C125" s="5">
        <v>46</v>
      </c>
      <c r="D125" s="5">
        <v>46.17</v>
      </c>
      <c r="E125" s="5">
        <v>46.34</v>
      </c>
      <c r="F125" s="5"/>
    </row>
    <row r="126" spans="1:6" x14ac:dyDescent="0.2">
      <c r="A126" s="2">
        <v>6.2</v>
      </c>
      <c r="B126" s="5">
        <v>46.32</v>
      </c>
      <c r="C126" s="5">
        <v>46.49</v>
      </c>
      <c r="D126" s="5">
        <v>46.66</v>
      </c>
      <c r="E126" s="5">
        <v>46.83</v>
      </c>
      <c r="F126" s="5"/>
    </row>
    <row r="127" spans="1:6" x14ac:dyDescent="0.2">
      <c r="A127" s="2">
        <v>6.25</v>
      </c>
      <c r="B127" s="5">
        <v>46.81</v>
      </c>
      <c r="C127" s="5">
        <v>46.98</v>
      </c>
      <c r="D127" s="5">
        <v>47.15</v>
      </c>
      <c r="E127" s="5">
        <v>47.32</v>
      </c>
      <c r="F127" s="5"/>
    </row>
    <row r="128" spans="1:6" x14ac:dyDescent="0.2">
      <c r="A128" s="2">
        <v>6.3</v>
      </c>
      <c r="B128" s="5">
        <v>47.3</v>
      </c>
      <c r="C128" s="5">
        <v>47.47</v>
      </c>
      <c r="D128" s="5">
        <v>47.64</v>
      </c>
      <c r="E128" s="5">
        <v>47.81</v>
      </c>
      <c r="F128" s="5"/>
    </row>
    <row r="129" spans="1:6" x14ac:dyDescent="0.2">
      <c r="A129" s="2">
        <v>6.35</v>
      </c>
      <c r="B129" s="5">
        <v>47.79</v>
      </c>
      <c r="C129" s="5">
        <v>47.96</v>
      </c>
      <c r="D129" s="5">
        <v>48.13</v>
      </c>
      <c r="E129" s="5">
        <v>48.3</v>
      </c>
      <c r="F129" s="5"/>
    </row>
    <row r="130" spans="1:6" x14ac:dyDescent="0.2">
      <c r="A130" s="2">
        <v>6.4</v>
      </c>
      <c r="B130" s="5">
        <v>48.28</v>
      </c>
      <c r="C130" s="5">
        <v>48.45</v>
      </c>
      <c r="D130" s="5">
        <v>48.62</v>
      </c>
      <c r="E130" s="5">
        <v>48.79</v>
      </c>
      <c r="F130" s="5"/>
    </row>
    <row r="131" spans="1:6" x14ac:dyDescent="0.2">
      <c r="A131" s="2">
        <v>6.45</v>
      </c>
      <c r="B131" s="5">
        <v>48.76</v>
      </c>
      <c r="C131" s="5">
        <v>48.94</v>
      </c>
      <c r="D131" s="5">
        <v>49.11</v>
      </c>
      <c r="E131" s="5">
        <v>49.28</v>
      </c>
      <c r="F131" s="5"/>
    </row>
    <row r="132" spans="1:6" x14ac:dyDescent="0.2">
      <c r="A132" s="2">
        <v>6.5</v>
      </c>
      <c r="B132" s="5">
        <v>49.25</v>
      </c>
      <c r="C132" s="5">
        <v>49.42</v>
      </c>
      <c r="D132" s="5">
        <v>49.6</v>
      </c>
      <c r="E132" s="5">
        <v>49.77</v>
      </c>
      <c r="F132" s="5"/>
    </row>
    <row r="133" spans="1:6" x14ac:dyDescent="0.2">
      <c r="A133" s="2">
        <v>6.55</v>
      </c>
      <c r="B133" s="5">
        <v>19.739999999999998</v>
      </c>
      <c r="C133" s="5">
        <v>49.91</v>
      </c>
      <c r="D133" s="5">
        <v>50.08</v>
      </c>
      <c r="E133" s="5">
        <v>50.26</v>
      </c>
      <c r="F133" s="5"/>
    </row>
    <row r="134" spans="1:6" x14ac:dyDescent="0.2">
      <c r="A134" s="2">
        <v>6.6</v>
      </c>
      <c r="B134" s="5">
        <v>50.23</v>
      </c>
      <c r="C134" s="5">
        <v>50.4</v>
      </c>
      <c r="D134" s="5">
        <v>50.57</v>
      </c>
      <c r="E134" s="5">
        <v>50.75</v>
      </c>
      <c r="F134" s="5"/>
    </row>
    <row r="135" spans="1:6" x14ac:dyDescent="0.2">
      <c r="A135" s="2">
        <v>6.65</v>
      </c>
      <c r="B135" s="5">
        <v>50.72</v>
      </c>
      <c r="C135" s="5">
        <v>50.9</v>
      </c>
      <c r="D135" s="5">
        <v>51.06</v>
      </c>
      <c r="E135" s="5">
        <v>51.24</v>
      </c>
      <c r="F135" s="5"/>
    </row>
    <row r="136" spans="1:6" x14ac:dyDescent="0.2">
      <c r="A136" s="2">
        <v>6.7</v>
      </c>
      <c r="B136" s="5">
        <v>51.2</v>
      </c>
      <c r="C136" s="5">
        <v>51.38</v>
      </c>
      <c r="D136" s="5">
        <v>51.55</v>
      </c>
      <c r="E136" s="5">
        <v>51.73</v>
      </c>
      <c r="F136" s="5"/>
    </row>
    <row r="137" spans="1:6" x14ac:dyDescent="0.2">
      <c r="A137" s="2">
        <v>6.75</v>
      </c>
      <c r="B137" s="5">
        <v>51.69</v>
      </c>
      <c r="C137" s="5">
        <v>51.87</v>
      </c>
      <c r="D137" s="5">
        <v>52.04</v>
      </c>
      <c r="E137" s="5">
        <v>52.22</v>
      </c>
      <c r="F137" s="5"/>
    </row>
    <row r="138" spans="1:6" x14ac:dyDescent="0.2">
      <c r="A138" s="2">
        <v>6.8</v>
      </c>
      <c r="B138" s="5">
        <v>52.18</v>
      </c>
      <c r="C138" s="5">
        <v>52.36</v>
      </c>
      <c r="D138" s="5">
        <v>52.53</v>
      </c>
      <c r="E138" s="5">
        <v>52.71</v>
      </c>
      <c r="F138" s="5"/>
    </row>
    <row r="139" spans="1:6" x14ac:dyDescent="0.2">
      <c r="A139" s="2">
        <v>6.85</v>
      </c>
      <c r="B139" s="5">
        <v>52.67</v>
      </c>
      <c r="C139" s="5">
        <v>52.85</v>
      </c>
      <c r="D139" s="5">
        <v>53.01</v>
      </c>
      <c r="E139" s="5">
        <v>53.19</v>
      </c>
      <c r="F139" s="5"/>
    </row>
    <row r="140" spans="1:6" x14ac:dyDescent="0.2">
      <c r="A140" s="2">
        <v>6.9</v>
      </c>
      <c r="B140" s="5">
        <v>53.16</v>
      </c>
      <c r="C140" s="5">
        <v>53.34</v>
      </c>
      <c r="D140" s="5">
        <v>53.51</v>
      </c>
      <c r="E140" s="5">
        <v>53.667999999999999</v>
      </c>
      <c r="F140" s="5"/>
    </row>
    <row r="141" spans="1:6" x14ac:dyDescent="0.2">
      <c r="A141" s="2">
        <v>6.95</v>
      </c>
      <c r="B141" s="5">
        <v>53.66</v>
      </c>
      <c r="C141" s="5">
        <v>53.83</v>
      </c>
      <c r="D141" s="5">
        <v>54</v>
      </c>
      <c r="E141" s="5">
        <v>54.14</v>
      </c>
      <c r="F141" s="5"/>
    </row>
    <row r="142" spans="1:6" x14ac:dyDescent="0.2">
      <c r="A142" s="2">
        <v>7</v>
      </c>
      <c r="B142" s="5">
        <v>54.15</v>
      </c>
      <c r="C142" s="5">
        <v>54.31</v>
      </c>
      <c r="D142" s="5">
        <v>54.43</v>
      </c>
      <c r="E142" s="5">
        <v>54.58</v>
      </c>
      <c r="F142" s="5"/>
    </row>
    <row r="143" spans="1:6" x14ac:dyDescent="0.2">
      <c r="A143" s="2">
        <v>7.05</v>
      </c>
      <c r="B143" s="5">
        <v>54.56</v>
      </c>
      <c r="C143" s="5">
        <v>54.66</v>
      </c>
      <c r="D143" s="5">
        <v>54.77</v>
      </c>
      <c r="E143" s="5">
        <v>54.79</v>
      </c>
      <c r="F143" s="5"/>
    </row>
    <row r="144" spans="1:6" x14ac:dyDescent="0.2">
      <c r="A144" s="2">
        <v>7.1</v>
      </c>
      <c r="B144" s="5">
        <v>54.81</v>
      </c>
      <c r="C144" s="5">
        <v>54.85</v>
      </c>
      <c r="D144" s="5">
        <v>54.85</v>
      </c>
      <c r="E144" s="5">
        <v>54.85</v>
      </c>
      <c r="F144" s="5"/>
    </row>
    <row r="145" spans="1:6" x14ac:dyDescent="0.2">
      <c r="A145" s="2">
        <v>7.15</v>
      </c>
      <c r="B145" s="5">
        <v>54.85</v>
      </c>
      <c r="C145" s="5">
        <v>54.85</v>
      </c>
      <c r="D145" s="5">
        <v>54.85</v>
      </c>
      <c r="E145" s="5">
        <v>54.85</v>
      </c>
      <c r="F145" s="5"/>
    </row>
  </sheetData>
  <sheetProtection sheet="1" objects="1" scenarios="1"/>
  <conditionalFormatting sqref="B2:F205">
    <cfRule type="expression" dxfId="2" priority="2" stopIfTrue="1">
      <formula>IF(AND(OR($A2=$L$4,$A2=$L$6),OR(B$1=$M$3,B$1=$O$3),OR(B2=$M$4,B2=$M$6,B2=$O$4,B2=$O$6)),TRUE,FALSE)</formula>
    </cfRule>
  </conditionalFormatting>
  <conditionalFormatting sqref="A1:A65536">
    <cfRule type="expression" dxfId="1" priority="3" stopIfTrue="1">
      <formula>IF(OR($A1=$L$4,$A1=$L$6),TRUE,FALSE)</formula>
    </cfRule>
  </conditionalFormatting>
  <conditionalFormatting sqref="B1:E1">
    <cfRule type="expression" dxfId="0" priority="1" stopIfTrue="1">
      <formula>IF(OR(B$1=$M$3,B$1=$O$3),TRUE,FALSE)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Before</vt:lpstr>
      <vt:lpstr>After</vt:lpstr>
      <vt:lpstr>Forms</vt:lpstr>
      <vt:lpstr>FO(1P)</vt:lpstr>
      <vt:lpstr>FO(1S)</vt:lpstr>
      <vt:lpstr>FO(2P)</vt:lpstr>
      <vt:lpstr>FO(2S)</vt:lpstr>
      <vt:lpstr>DO(P)</vt:lpstr>
      <vt:lpstr>DO(S)</vt:lpstr>
      <vt:lpstr>Before!Print_Area</vt:lpstr>
    </vt:vector>
  </TitlesOfParts>
  <Company>¿? aRp™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Tan</cp:lastModifiedBy>
  <cp:lastPrinted>2017-06-16T16:17:58Z</cp:lastPrinted>
  <dcterms:created xsi:type="dcterms:W3CDTF">2014-09-11T01:03:01Z</dcterms:created>
  <dcterms:modified xsi:type="dcterms:W3CDTF">2018-05-07T21:39:14Z</dcterms:modified>
</cp:coreProperties>
</file>