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duffett\PycharmProjects\pythonProject1\"/>
    </mc:Choice>
  </mc:AlternateContent>
  <xr:revisionPtr revIDLastSave="0" documentId="13_ncr:1_{095A3BE7-D40F-4C2A-97AD-DB63CE4B1707}" xr6:coauthVersionLast="47" xr6:coauthVersionMax="47" xr10:uidLastSave="{00000000-0000-0000-0000-000000000000}"/>
  <bookViews>
    <workbookView xWindow="-120" yWindow="-120" windowWidth="29040" windowHeight="15840" firstSheet="7" activeTab="9" xr2:uid="{93C1F1F9-0DA6-4900-AB8A-90F0403AFB35}"/>
  </bookViews>
  <sheets>
    <sheet name="Inputs" sheetId="1" r:id="rId1"/>
    <sheet name="Moment_Calculations" sheetId="4" r:id="rId2"/>
    <sheet name="Moment_Calculations (2)" sheetId="12" r:id="rId3"/>
    <sheet name="Table 5.6.3" sheetId="14" r:id="rId4"/>
    <sheet name="Z-Purlins" sheetId="15" r:id="rId5"/>
    <sheet name="Table 5.2" sheetId="13" r:id="rId6"/>
    <sheet name="Sheet1" sheetId="16" r:id="rId7"/>
    <sheet name="Shear_Calculations" sheetId="11" r:id="rId8"/>
    <sheet name="Welded_Beam" sheetId="8" r:id="rId9"/>
    <sheet name="CHS" sheetId="23" r:id="rId10"/>
    <sheet name="PFC" sheetId="10" r:id="rId11"/>
    <sheet name="RHS" sheetId="19" r:id="rId12"/>
    <sheet name="SHS" sheetId="21" r:id="rId13"/>
    <sheet name="Sheet2" sheetId="22" r:id="rId14"/>
    <sheet name="Universal_Beam" sheetId="5" r:id="rId15"/>
    <sheet name="Universal_Column" sheetId="6" r:id="rId16"/>
    <sheet name="Equal_Angle" sheetId="7" r:id="rId17"/>
    <sheet name="Welded_Column" sheetId="9" r:id="rId18"/>
  </sheets>
  <externalReferences>
    <externalReference r:id="rId19"/>
  </externalReferences>
  <definedNames>
    <definedName name="Equal_Angle">Equal_Angle!$A$8:$A$53</definedName>
    <definedName name="PFC">PFC!$A$8:$A$18</definedName>
    <definedName name="Section_Types">'[1]Sheet Names'!$A$1:$A$6</definedName>
    <definedName name="Universal_Beam">Universal_Beam!$A$8:$A$36</definedName>
    <definedName name="Universal_Column">Universal_Column!$A$8:$A$20</definedName>
    <definedName name="Welded_Beam">Welded_Beam!$A$8:$A$32</definedName>
    <definedName name="Welded_Column">Welded_Column!$A$8:$A$25</definedName>
    <definedName name="φMsx">Inputs!$C$16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8" i="12" l="1"/>
  <c r="B20" i="12"/>
  <c r="B106" i="12"/>
  <c r="B100" i="12"/>
  <c r="B99" i="12"/>
  <c r="B98" i="12"/>
  <c r="B96" i="12"/>
  <c r="C87" i="12"/>
  <c r="B87" i="12"/>
  <c r="C85" i="12"/>
  <c r="B85" i="12"/>
  <c r="B79" i="12"/>
  <c r="B73" i="12"/>
  <c r="B72" i="12"/>
  <c r="B71" i="12"/>
  <c r="B69" i="12"/>
  <c r="C60" i="12"/>
  <c r="B60" i="12"/>
  <c r="C58" i="12"/>
  <c r="B58" i="12"/>
  <c r="B31" i="12"/>
  <c r="B52" i="12"/>
  <c r="B46" i="12"/>
  <c r="B45" i="12"/>
  <c r="B44" i="12"/>
  <c r="B42" i="12"/>
  <c r="C33" i="12"/>
  <c r="B33" i="12"/>
  <c r="C31" i="12"/>
  <c r="B19" i="12"/>
  <c r="B18" i="12"/>
  <c r="B17" i="12"/>
  <c r="C6" i="12"/>
  <c r="B6" i="12"/>
  <c r="C4" i="12"/>
  <c r="B4" i="12"/>
  <c r="BF30" i="12"/>
  <c r="S64" i="12"/>
  <c r="BS31" i="12"/>
  <c r="T93" i="12"/>
  <c r="T91" i="12"/>
  <c r="Z30" i="12"/>
  <c r="Z31" i="12"/>
  <c r="BP31" i="12"/>
  <c r="T34" i="12"/>
  <c r="T85" i="12"/>
  <c r="S74" i="12"/>
  <c r="T68" i="12"/>
  <c r="BN30" i="12"/>
  <c r="T75" i="12"/>
  <c r="W31" i="12"/>
  <c r="X31" i="12"/>
  <c r="S83" i="12"/>
  <c r="BW31" i="12"/>
  <c r="T90" i="12"/>
  <c r="BM30" i="12"/>
  <c r="T59" i="12"/>
  <c r="T88" i="12"/>
  <c r="S63" i="12"/>
  <c r="S71" i="12"/>
  <c r="T81" i="12"/>
  <c r="T46" i="12"/>
  <c r="S59" i="12"/>
  <c r="BP30" i="12"/>
  <c r="BU31" i="12"/>
  <c r="T37" i="12"/>
  <c r="S58" i="12"/>
  <c r="BJ30" i="12"/>
  <c r="S32" i="12"/>
  <c r="T41" i="12"/>
  <c r="BR31" i="12"/>
  <c r="T77" i="12"/>
  <c r="T56" i="12"/>
  <c r="S38" i="12"/>
  <c r="S70" i="12"/>
  <c r="S85" i="12"/>
  <c r="S42" i="12"/>
  <c r="S37" i="12"/>
  <c r="T43" i="12"/>
  <c r="T60" i="12"/>
  <c r="S86" i="12"/>
  <c r="S94" i="12"/>
  <c r="T66" i="12"/>
  <c r="S56" i="12"/>
  <c r="S57" i="12"/>
  <c r="BU30" i="12"/>
  <c r="S82" i="12"/>
  <c r="S73" i="12"/>
  <c r="S88" i="12"/>
  <c r="BW30" i="12"/>
  <c r="S43" i="12"/>
  <c r="S91" i="12"/>
  <c r="CB31" i="12"/>
  <c r="S69" i="12"/>
  <c r="S61" i="12"/>
  <c r="S50" i="12"/>
  <c r="BK31" i="12"/>
  <c r="T35" i="12"/>
  <c r="T54" i="12"/>
  <c r="CC31" i="12"/>
  <c r="T63" i="12"/>
  <c r="S52" i="12"/>
  <c r="T65" i="12"/>
  <c r="T45" i="12"/>
  <c r="S49" i="12"/>
  <c r="T87" i="12"/>
  <c r="S78" i="12"/>
  <c r="S67" i="12"/>
  <c r="BQ31" i="12"/>
  <c r="T62" i="12"/>
  <c r="S84" i="12"/>
  <c r="T82" i="12"/>
  <c r="BS30" i="12"/>
  <c r="S55" i="12"/>
  <c r="S39" i="12"/>
  <c r="V31" i="12"/>
  <c r="BG30" i="12"/>
  <c r="BH30" i="12"/>
  <c r="BR30" i="12"/>
  <c r="T57" i="12"/>
  <c r="BH31" i="12"/>
  <c r="T36" i="12"/>
  <c r="T49" i="12"/>
  <c r="BL30" i="12"/>
  <c r="CC30" i="12"/>
  <c r="S72" i="12"/>
  <c r="S46" i="12"/>
  <c r="V30" i="12"/>
  <c r="S76" i="12"/>
  <c r="T42" i="12"/>
  <c r="BY30" i="12"/>
  <c r="BK30" i="12"/>
  <c r="BG31" i="12"/>
  <c r="T44" i="12"/>
  <c r="T80" i="12"/>
  <c r="T55" i="12"/>
  <c r="S53" i="12"/>
  <c r="BQ30" i="12"/>
  <c r="BE30" i="12"/>
  <c r="T64" i="12"/>
  <c r="S66" i="12"/>
  <c r="BE31" i="12"/>
  <c r="T94" i="12"/>
  <c r="CA30" i="12"/>
  <c r="T78" i="12"/>
  <c r="T76" i="12"/>
  <c r="BZ30" i="12"/>
  <c r="BX31" i="12"/>
  <c r="S47" i="12"/>
  <c r="X30" i="12"/>
  <c r="S62" i="12"/>
  <c r="T89" i="12"/>
  <c r="T74" i="12"/>
  <c r="S68" i="12"/>
  <c r="U31" i="12"/>
  <c r="S75" i="12"/>
  <c r="T50" i="12"/>
  <c r="W30" i="12"/>
  <c r="T69" i="12"/>
  <c r="S48" i="12"/>
  <c r="T72" i="12"/>
  <c r="Y31" i="12"/>
  <c r="S93" i="12"/>
  <c r="BZ31" i="12"/>
  <c r="BD31" i="12"/>
  <c r="S79" i="12"/>
  <c r="BV30" i="12"/>
  <c r="BI31" i="12"/>
  <c r="T48" i="12"/>
  <c r="BV31" i="12"/>
  <c r="S44" i="12"/>
  <c r="BY31" i="12"/>
  <c r="S89" i="12"/>
  <c r="S81" i="12"/>
  <c r="S30" i="12"/>
  <c r="S36" i="12"/>
  <c r="BL31" i="12"/>
  <c r="BO31" i="12"/>
  <c r="T92" i="12"/>
  <c r="CA31" i="12"/>
  <c r="S35" i="12"/>
  <c r="BX30" i="12"/>
  <c r="S34" i="12"/>
  <c r="BO30" i="12"/>
  <c r="T61" i="12"/>
  <c r="S54" i="12"/>
  <c r="T67" i="12"/>
  <c r="S51" i="12"/>
  <c r="T51" i="12"/>
  <c r="S40" i="12"/>
  <c r="BT31" i="12"/>
  <c r="U30" i="12"/>
  <c r="T47" i="12"/>
  <c r="T71" i="12"/>
  <c r="T70" i="12"/>
  <c r="BN31" i="12"/>
  <c r="T39" i="12"/>
  <c r="T31" i="12"/>
  <c r="T53" i="12"/>
  <c r="T83" i="12"/>
  <c r="T84" i="12"/>
  <c r="S90" i="12"/>
  <c r="S92" i="12"/>
  <c r="T58" i="12"/>
  <c r="BD30" i="12"/>
  <c r="T86" i="12"/>
  <c r="S77" i="12"/>
  <c r="T33" i="12"/>
  <c r="S45" i="12"/>
  <c r="S65" i="12"/>
  <c r="S80" i="12"/>
  <c r="BF31" i="12"/>
  <c r="T73" i="12"/>
  <c r="Y30" i="12"/>
  <c r="T38" i="12"/>
  <c r="BI30" i="12"/>
  <c r="BM31" i="12"/>
  <c r="BJ31" i="12"/>
  <c r="S60" i="12"/>
  <c r="S41" i="12"/>
  <c r="T79" i="12"/>
  <c r="T40" i="12"/>
  <c r="CB30" i="12"/>
  <c r="T52" i="12"/>
  <c r="BT30" i="12"/>
  <c r="S87" i="12"/>
  <c r="M50" i="12" l="1"/>
  <c r="M51" i="12"/>
  <c r="M52" i="12"/>
  <c r="M49" i="12"/>
  <c r="M44" i="12"/>
  <c r="M45" i="12"/>
  <c r="M46" i="12"/>
  <c r="M43" i="12"/>
  <c r="S25" i="12"/>
  <c r="S21" i="12"/>
  <c r="S16" i="12"/>
  <c r="S11" i="12"/>
  <c r="S6" i="12"/>
  <c r="S27" i="12"/>
  <c r="S26" i="12"/>
  <c r="S24" i="12"/>
  <c r="S23" i="12"/>
  <c r="S22" i="12"/>
  <c r="S20" i="12"/>
  <c r="S19" i="12"/>
  <c r="S18" i="12"/>
  <c r="S17" i="12"/>
  <c r="S15" i="12"/>
  <c r="S14" i="12"/>
  <c r="S13" i="12"/>
  <c r="S12" i="12"/>
  <c r="S10" i="12"/>
  <c r="S9" i="12"/>
  <c r="S8" i="12"/>
  <c r="S7" i="12"/>
  <c r="S5" i="12"/>
  <c r="S4" i="12"/>
  <c r="S3" i="12"/>
  <c r="K7" i="11"/>
  <c r="K6" i="11"/>
  <c r="K4" i="11"/>
  <c r="J3" i="11"/>
  <c r="H7" i="11"/>
  <c r="H6" i="11"/>
  <c r="H4" i="11"/>
  <c r="G3" i="11"/>
  <c r="E7" i="11"/>
  <c r="E6" i="11"/>
  <c r="E4" i="11"/>
  <c r="D3" i="11"/>
  <c r="B4" i="11"/>
  <c r="B7" i="11"/>
  <c r="B6" i="11"/>
  <c r="A3" i="11"/>
  <c r="C56" i="4"/>
  <c r="C41" i="4"/>
  <c r="AR25" i="4"/>
  <c r="AO31" i="12"/>
  <c r="AF26" i="4"/>
  <c r="AC30" i="12"/>
  <c r="AE30" i="12"/>
  <c r="AZ31" i="12"/>
  <c r="BC31" i="12"/>
  <c r="AJ26" i="4"/>
  <c r="AW30" i="12"/>
  <c r="AS30" i="12"/>
  <c r="AH30" i="12"/>
  <c r="BD26" i="4"/>
  <c r="X26" i="4"/>
  <c r="AH26" i="4"/>
  <c r="V25" i="4"/>
  <c r="AZ26" i="4"/>
  <c r="AP26" i="4"/>
  <c r="AF30" i="12"/>
  <c r="AC25" i="4"/>
  <c r="BA31" i="12"/>
  <c r="AB31" i="12"/>
  <c r="AW26" i="4"/>
  <c r="AR30" i="12"/>
  <c r="AE26" i="4"/>
  <c r="AY30" i="12"/>
  <c r="AE25" i="4"/>
  <c r="Y25" i="4"/>
  <c r="AX26" i="4"/>
  <c r="AG31" i="12"/>
  <c r="AH25" i="4"/>
  <c r="AV31" i="12"/>
  <c r="BD25" i="4"/>
  <c r="AZ25" i="4"/>
  <c r="AY25" i="4"/>
  <c r="AS25" i="4"/>
  <c r="BB31" i="12"/>
  <c r="AU26" i="4"/>
  <c r="BB30" i="12"/>
  <c r="AF25" i="4"/>
  <c r="AS26" i="4"/>
  <c r="AK25" i="4"/>
  <c r="AB26" i="4"/>
  <c r="AU30" i="12"/>
  <c r="AM25" i="4"/>
  <c r="AK31" i="12"/>
  <c r="BA30" i="12"/>
  <c r="AK30" i="12"/>
  <c r="AM31" i="12"/>
  <c r="W25" i="4"/>
  <c r="AD30" i="12"/>
  <c r="AQ26" i="4"/>
  <c r="AQ25" i="4"/>
  <c r="BB25" i="4"/>
  <c r="AA26" i="4"/>
  <c r="AQ30" i="12"/>
  <c r="AI25" i="4"/>
  <c r="AM30" i="12"/>
  <c r="BB26" i="4"/>
  <c r="AQ31" i="12"/>
  <c r="BC30" i="12"/>
  <c r="AK26" i="4"/>
  <c r="BC25" i="4"/>
  <c r="AX25" i="4"/>
  <c r="AG25" i="4"/>
  <c r="V26" i="4"/>
  <c r="AD26" i="4"/>
  <c r="U25" i="4"/>
  <c r="AV30" i="12"/>
  <c r="AN31" i="12"/>
  <c r="AG26" i="4"/>
  <c r="Z25" i="4"/>
  <c r="AZ30" i="12"/>
  <c r="AT31" i="12"/>
  <c r="T26" i="4"/>
  <c r="AP25" i="4"/>
  <c r="AU25" i="4"/>
  <c r="AN25" i="4"/>
  <c r="AE31" i="12"/>
  <c r="AF31" i="12"/>
  <c r="AY31" i="12"/>
  <c r="AL30" i="12"/>
  <c r="AY26" i="4"/>
  <c r="AL25" i="4"/>
  <c r="U26" i="4"/>
  <c r="BC26" i="4"/>
  <c r="X25" i="4"/>
  <c r="AO30" i="12"/>
  <c r="AD31" i="12"/>
  <c r="AL31" i="12"/>
  <c r="AD25" i="4"/>
  <c r="AO26" i="4"/>
  <c r="AC26" i="4"/>
  <c r="AP31" i="12"/>
  <c r="AJ31" i="12"/>
  <c r="AO25" i="4"/>
  <c r="AT30" i="12"/>
  <c r="AN26" i="4"/>
  <c r="AV25" i="4"/>
  <c r="AU31" i="12"/>
  <c r="AT26" i="4"/>
  <c r="AB25" i="4"/>
  <c r="AA25" i="4"/>
  <c r="AJ25" i="4"/>
  <c r="AB30" i="12"/>
  <c r="AI31" i="12"/>
  <c r="AR26" i="4"/>
  <c r="AR31" i="12"/>
  <c r="BA25" i="4"/>
  <c r="AX30" i="12"/>
  <c r="AN30" i="12"/>
  <c r="AI26" i="4"/>
  <c r="Y26" i="4"/>
  <c r="AA31" i="12"/>
  <c r="AT25" i="4"/>
  <c r="Z26" i="4"/>
  <c r="AA30" i="12"/>
  <c r="S25" i="4"/>
  <c r="AM26" i="4"/>
  <c r="AG30" i="12"/>
  <c r="AL26" i="4"/>
  <c r="AV26" i="4"/>
  <c r="AH31" i="12"/>
  <c r="AS31" i="12"/>
  <c r="AI30" i="12"/>
  <c r="AW31" i="12"/>
  <c r="W26" i="4"/>
  <c r="AC31" i="12"/>
  <c r="AJ30" i="12"/>
  <c r="AX31" i="12"/>
  <c r="AW25" i="4"/>
  <c r="BA26" i="4"/>
  <c r="AP30" i="12"/>
  <c r="B75" i="12" l="1"/>
  <c r="B102" i="12"/>
  <c r="B74" i="12"/>
  <c r="B101" i="12"/>
  <c r="C57" i="12"/>
  <c r="C84" i="12"/>
  <c r="B84" i="12"/>
  <c r="B57" i="12"/>
  <c r="C73" i="12"/>
  <c r="C99" i="12"/>
  <c r="C72" i="12"/>
  <c r="C100" i="12"/>
  <c r="B47" i="12"/>
  <c r="B30" i="12"/>
  <c r="C30" i="12"/>
  <c r="C45" i="12"/>
  <c r="C46" i="12"/>
  <c r="B21" i="12"/>
  <c r="C3" i="12"/>
  <c r="C18" i="12"/>
  <c r="C19" i="12"/>
  <c r="B3" i="12"/>
  <c r="C69" i="4"/>
  <c r="AD4" i="12"/>
  <c r="AD45" i="12"/>
  <c r="K5" i="11"/>
  <c r="J11" i="11" s="1"/>
  <c r="Q7" i="1" s="1"/>
  <c r="E8" i="11"/>
  <c r="H5" i="11"/>
  <c r="G11" i="11" s="1"/>
  <c r="Q6" i="1" s="1"/>
  <c r="K8" i="11"/>
  <c r="H8" i="11"/>
  <c r="E5" i="11"/>
  <c r="D11" i="11" s="1"/>
  <c r="Q5" i="1" s="1"/>
  <c r="B5" i="11"/>
  <c r="A11" i="11" s="1"/>
  <c r="Q4" i="1" s="1"/>
  <c r="B8" i="11"/>
  <c r="AD40" i="4"/>
  <c r="AD4" i="4"/>
  <c r="C54" i="4"/>
  <c r="E57" i="4" s="1"/>
  <c r="C47" i="4"/>
  <c r="B48" i="4"/>
  <c r="A1" i="9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A1" i="8"/>
  <c r="B1" i="8"/>
  <c r="C1" i="8"/>
  <c r="D1" i="8"/>
  <c r="E1" i="8"/>
  <c r="J1" i="8"/>
  <c r="K1" i="8"/>
  <c r="AL1" i="8"/>
  <c r="AM1" i="8"/>
  <c r="AN1" i="8"/>
  <c r="AO1" i="8"/>
  <c r="AP1" i="8"/>
  <c r="AQ1" i="8"/>
  <c r="AR1" i="8"/>
  <c r="AS1" i="8"/>
  <c r="AT1" i="8"/>
  <c r="AU1" i="8"/>
  <c r="L8" i="8"/>
  <c r="M8" i="8"/>
  <c r="O8" i="8"/>
  <c r="P8" i="8"/>
  <c r="R8" i="8"/>
  <c r="Y8" i="8"/>
  <c r="AA8" i="8"/>
  <c r="AB8" i="8"/>
  <c r="AD8" i="8"/>
  <c r="AE8" i="8"/>
  <c r="AV8" i="8"/>
  <c r="AW8" i="8"/>
  <c r="AX8" i="8"/>
  <c r="AF8" i="8" s="1"/>
  <c r="V8" i="8" s="1"/>
  <c r="AY8" i="8"/>
  <c r="BG8" i="8" s="1"/>
  <c r="BI8" i="8" s="1"/>
  <c r="BB8" i="8"/>
  <c r="M9" i="8"/>
  <c r="O9" i="8"/>
  <c r="P9" i="8"/>
  <c r="R9" i="8"/>
  <c r="Y9" i="8"/>
  <c r="AA9" i="8"/>
  <c r="AB9" i="8"/>
  <c r="AD9" i="8"/>
  <c r="AE9" i="8"/>
  <c r="AV9" i="8"/>
  <c r="AW9" i="8"/>
  <c r="AX9" i="8"/>
  <c r="AF9" i="8" s="1"/>
  <c r="U9" i="8" s="1"/>
  <c r="AY9" i="8"/>
  <c r="BB9" i="8"/>
  <c r="BG9" i="8"/>
  <c r="BI9" i="8"/>
  <c r="M10" i="8"/>
  <c r="O10" i="8"/>
  <c r="P10" i="8"/>
  <c r="R10" i="8"/>
  <c r="Y10" i="8"/>
  <c r="AA10" i="8"/>
  <c r="AB10" i="8"/>
  <c r="AD10" i="8"/>
  <c r="AE10" i="8"/>
  <c r="AF10" i="8"/>
  <c r="T10" i="8" s="1"/>
  <c r="AV10" i="8"/>
  <c r="AW10" i="8"/>
  <c r="AX10" i="8"/>
  <c r="L10" i="8" s="1"/>
  <c r="AY10" i="8"/>
  <c r="BI10" i="8" s="1"/>
  <c r="BB10" i="8"/>
  <c r="BF10" i="8"/>
  <c r="BH10" i="8" s="1"/>
  <c r="BG10" i="8"/>
  <c r="L11" i="8"/>
  <c r="M11" i="8"/>
  <c r="O11" i="8"/>
  <c r="P11" i="8"/>
  <c r="R11" i="8"/>
  <c r="S11" i="8"/>
  <c r="U11" i="8"/>
  <c r="Y11" i="8"/>
  <c r="AA11" i="8"/>
  <c r="AB11" i="8"/>
  <c r="AD11" i="8"/>
  <c r="AE11" i="8"/>
  <c r="AF11" i="8"/>
  <c r="N11" i="8" s="1"/>
  <c r="AV11" i="8"/>
  <c r="AW11" i="8"/>
  <c r="AX11" i="8"/>
  <c r="BH11" i="8" s="1"/>
  <c r="AY11" i="8"/>
  <c r="BB11" i="8"/>
  <c r="BF11" i="8"/>
  <c r="BG11" i="8"/>
  <c r="L12" i="8"/>
  <c r="M12" i="8"/>
  <c r="O12" i="8"/>
  <c r="P12" i="8"/>
  <c r="R12" i="8"/>
  <c r="Y12" i="8"/>
  <c r="AA12" i="8"/>
  <c r="AB12" i="8"/>
  <c r="AD12" i="8"/>
  <c r="AE12" i="8"/>
  <c r="AF12" i="8"/>
  <c r="AV12" i="8"/>
  <c r="AW12" i="8"/>
  <c r="AX12" i="8"/>
  <c r="AY12" i="8"/>
  <c r="BB12" i="8"/>
  <c r="BF12" i="8"/>
  <c r="L13" i="8"/>
  <c r="M13" i="8"/>
  <c r="O13" i="8"/>
  <c r="P13" i="8"/>
  <c r="Q13" i="8"/>
  <c r="R13" i="8"/>
  <c r="S13" i="8"/>
  <c r="Y13" i="8"/>
  <c r="AA13" i="8"/>
  <c r="AB13" i="8"/>
  <c r="AC13" i="8"/>
  <c r="AD13" i="8"/>
  <c r="AE13" i="8"/>
  <c r="AV13" i="8"/>
  <c r="AW13" i="8"/>
  <c r="AX13" i="8"/>
  <c r="AF13" i="8" s="1"/>
  <c r="AY13" i="8"/>
  <c r="BB13" i="8"/>
  <c r="M14" i="8"/>
  <c r="O14" i="8"/>
  <c r="P14" i="8"/>
  <c r="R14" i="8"/>
  <c r="Y14" i="8"/>
  <c r="AA14" i="8"/>
  <c r="AB14" i="8"/>
  <c r="AD14" i="8"/>
  <c r="AE14" i="8"/>
  <c r="AV14" i="8"/>
  <c r="AW14" i="8"/>
  <c r="AX14" i="8"/>
  <c r="AY14" i="8"/>
  <c r="BB14" i="8"/>
  <c r="M15" i="8"/>
  <c r="O15" i="8"/>
  <c r="P15" i="8"/>
  <c r="R15" i="8"/>
  <c r="Y15" i="8"/>
  <c r="AA15" i="8"/>
  <c r="AB15" i="8"/>
  <c r="AD15" i="8"/>
  <c r="AE15" i="8"/>
  <c r="AV15" i="8"/>
  <c r="AW15" i="8"/>
  <c r="AX15" i="8"/>
  <c r="AF15" i="8" s="1"/>
  <c r="Q15" i="8" s="1"/>
  <c r="AY15" i="8"/>
  <c r="BB15" i="8"/>
  <c r="M16" i="8"/>
  <c r="O16" i="8"/>
  <c r="P16" i="8"/>
  <c r="R16" i="8"/>
  <c r="Y16" i="8"/>
  <c r="AA16" i="8"/>
  <c r="AB16" i="8"/>
  <c r="AD16" i="8"/>
  <c r="AE16" i="8"/>
  <c r="AV16" i="8"/>
  <c r="AW16" i="8"/>
  <c r="AX16" i="8"/>
  <c r="AY16" i="8"/>
  <c r="BB16" i="8"/>
  <c r="BG16" i="8"/>
  <c r="BI16" i="8" s="1"/>
  <c r="L17" i="8"/>
  <c r="M17" i="8"/>
  <c r="O17" i="8"/>
  <c r="P17" i="8"/>
  <c r="R17" i="8"/>
  <c r="Y17" i="8"/>
  <c r="AA17" i="8"/>
  <c r="AB17" i="8"/>
  <c r="AD17" i="8"/>
  <c r="AE17" i="8"/>
  <c r="AC17" i="8" s="1"/>
  <c r="AF17" i="8"/>
  <c r="Q17" i="8" s="1"/>
  <c r="AV17" i="8"/>
  <c r="AW17" i="8"/>
  <c r="AX17" i="8"/>
  <c r="AY17" i="8"/>
  <c r="BB17" i="8"/>
  <c r="BG17" i="8" s="1"/>
  <c r="BI17" i="8" s="1"/>
  <c r="BJ17" i="8" s="1"/>
  <c r="BC17" i="8" s="1"/>
  <c r="BF17" i="8"/>
  <c r="BH17" i="8" s="1"/>
  <c r="L18" i="8"/>
  <c r="M18" i="8"/>
  <c r="O18" i="8"/>
  <c r="P18" i="8"/>
  <c r="R18" i="8"/>
  <c r="X18" i="8"/>
  <c r="Y18" i="8"/>
  <c r="AA18" i="8"/>
  <c r="AB18" i="8"/>
  <c r="AD18" i="8"/>
  <c r="AE18" i="8"/>
  <c r="AV18" i="8"/>
  <c r="AW18" i="8"/>
  <c r="AX18" i="8"/>
  <c r="AF18" i="8" s="1"/>
  <c r="AY18" i="8"/>
  <c r="BG18" i="8" s="1"/>
  <c r="BI18" i="8" s="1"/>
  <c r="BB18" i="8"/>
  <c r="L19" i="8"/>
  <c r="M19" i="8"/>
  <c r="O19" i="8"/>
  <c r="P19" i="8"/>
  <c r="R19" i="8"/>
  <c r="Y19" i="8"/>
  <c r="AA19" i="8"/>
  <c r="AB19" i="8"/>
  <c r="AD19" i="8"/>
  <c r="AE19" i="8"/>
  <c r="Z19" i="8" s="1"/>
  <c r="AV19" i="8"/>
  <c r="AW19" i="8"/>
  <c r="AX19" i="8"/>
  <c r="AF19" i="8" s="1"/>
  <c r="W19" i="8" s="1"/>
  <c r="AY19" i="8"/>
  <c r="BG19" i="8" s="1"/>
  <c r="BI19" i="8" s="1"/>
  <c r="BB19" i="8"/>
  <c r="L20" i="8"/>
  <c r="M20" i="8"/>
  <c r="O20" i="8"/>
  <c r="P20" i="8"/>
  <c r="R20" i="8"/>
  <c r="V20" i="8"/>
  <c r="Y20" i="8"/>
  <c r="AA20" i="8"/>
  <c r="AB20" i="8"/>
  <c r="AD20" i="8"/>
  <c r="AE20" i="8"/>
  <c r="AV20" i="8"/>
  <c r="AW20" i="8"/>
  <c r="AX20" i="8"/>
  <c r="AF20" i="8" s="1"/>
  <c r="AY20" i="8"/>
  <c r="BG20" i="8" s="1"/>
  <c r="BI20" i="8" s="1"/>
  <c r="BB20" i="8"/>
  <c r="M21" i="8"/>
  <c r="O21" i="8"/>
  <c r="P21" i="8"/>
  <c r="R21" i="8"/>
  <c r="U21" i="8"/>
  <c r="W21" i="8"/>
  <c r="Y21" i="8"/>
  <c r="AA21" i="8"/>
  <c r="AB21" i="8"/>
  <c r="AD21" i="8"/>
  <c r="AE21" i="8"/>
  <c r="AC21" i="8" s="1"/>
  <c r="AV21" i="8"/>
  <c r="AW21" i="8"/>
  <c r="AX21" i="8"/>
  <c r="AF21" i="8" s="1"/>
  <c r="AY21" i="8"/>
  <c r="BB21" i="8"/>
  <c r="BG21" i="8"/>
  <c r="BI21" i="8" s="1"/>
  <c r="L22" i="8"/>
  <c r="M22" i="8"/>
  <c r="O22" i="8"/>
  <c r="P22" i="8"/>
  <c r="R22" i="8"/>
  <c r="Y22" i="8"/>
  <c r="AA22" i="8"/>
  <c r="AB22" i="8"/>
  <c r="AD22" i="8"/>
  <c r="AE22" i="8"/>
  <c r="AF22" i="8"/>
  <c r="T22" i="8" s="1"/>
  <c r="AV22" i="8"/>
  <c r="AW22" i="8"/>
  <c r="AX22" i="8"/>
  <c r="AY22" i="8"/>
  <c r="BI22" i="8" s="1"/>
  <c r="BB22" i="8"/>
  <c r="BF22" i="8"/>
  <c r="BG22" i="8"/>
  <c r="BH22" i="8"/>
  <c r="M23" i="8"/>
  <c r="O23" i="8"/>
  <c r="P23" i="8"/>
  <c r="R23" i="8"/>
  <c r="S23" i="8"/>
  <c r="U23" i="8"/>
  <c r="Y23" i="8"/>
  <c r="AA23" i="8"/>
  <c r="AB23" i="8"/>
  <c r="AD23" i="8"/>
  <c r="AE23" i="8"/>
  <c r="AF23" i="8"/>
  <c r="N23" i="8" s="1"/>
  <c r="AW23" i="8"/>
  <c r="AX23" i="8"/>
  <c r="L23" i="8" s="1"/>
  <c r="AY23" i="8"/>
  <c r="BB23" i="8"/>
  <c r="M24" i="8"/>
  <c r="O24" i="8"/>
  <c r="P24" i="8"/>
  <c r="R24" i="8"/>
  <c r="Y24" i="8"/>
  <c r="AA24" i="8"/>
  <c r="AB24" i="8"/>
  <c r="AD24" i="8"/>
  <c r="AE24" i="8"/>
  <c r="AV24" i="8"/>
  <c r="AW24" i="8"/>
  <c r="AX24" i="8"/>
  <c r="AY24" i="8"/>
  <c r="BG24" i="8" s="1"/>
  <c r="BB24" i="8"/>
  <c r="M25" i="8"/>
  <c r="O25" i="8"/>
  <c r="P25" i="8"/>
  <c r="Q25" i="8"/>
  <c r="R25" i="8"/>
  <c r="Y25" i="8"/>
  <c r="AA25" i="8"/>
  <c r="AB25" i="8"/>
  <c r="AC25" i="8"/>
  <c r="AD25" i="8"/>
  <c r="AE25" i="8"/>
  <c r="W25" i="8" s="1"/>
  <c r="AV25" i="8"/>
  <c r="AW25" i="8"/>
  <c r="AX25" i="8"/>
  <c r="AF25" i="8" s="1"/>
  <c r="AY25" i="8"/>
  <c r="BB25" i="8"/>
  <c r="M26" i="8"/>
  <c r="O26" i="8"/>
  <c r="P26" i="8"/>
  <c r="R26" i="8"/>
  <c r="Y26" i="8"/>
  <c r="AA26" i="8"/>
  <c r="AB26" i="8"/>
  <c r="AD26" i="8"/>
  <c r="AE26" i="8"/>
  <c r="AV26" i="8"/>
  <c r="AW26" i="8"/>
  <c r="AX26" i="8"/>
  <c r="AY26" i="8"/>
  <c r="BB26" i="8"/>
  <c r="BG26" i="8"/>
  <c r="BI26" i="8" s="1"/>
  <c r="L27" i="8"/>
  <c r="M27" i="8"/>
  <c r="N27" i="8"/>
  <c r="O27" i="8"/>
  <c r="P27" i="8"/>
  <c r="R27" i="8"/>
  <c r="Y27" i="8"/>
  <c r="Z27" i="8"/>
  <c r="AA27" i="8"/>
  <c r="AB27" i="8"/>
  <c r="AD27" i="8"/>
  <c r="AE27" i="8"/>
  <c r="AC27" i="8" s="1"/>
  <c r="AF27" i="8"/>
  <c r="Q27" i="8" s="1"/>
  <c r="AV27" i="8"/>
  <c r="AW27" i="8"/>
  <c r="AX27" i="8"/>
  <c r="AY27" i="8"/>
  <c r="BG27" i="8" s="1"/>
  <c r="BB27" i="8"/>
  <c r="BF27" i="8"/>
  <c r="BH27" i="8" s="1"/>
  <c r="L28" i="8"/>
  <c r="M28" i="8"/>
  <c r="O28" i="8"/>
  <c r="P28" i="8"/>
  <c r="R28" i="8"/>
  <c r="Y28" i="8"/>
  <c r="AA28" i="8"/>
  <c r="AB28" i="8"/>
  <c r="AD28" i="8"/>
  <c r="AE28" i="8"/>
  <c r="AV28" i="8"/>
  <c r="AW28" i="8"/>
  <c r="AX28" i="8"/>
  <c r="AF28" i="8" s="1"/>
  <c r="X28" i="8" s="1"/>
  <c r="AY28" i="8"/>
  <c r="BG28" i="8" s="1"/>
  <c r="BI28" i="8" s="1"/>
  <c r="BB28" i="8"/>
  <c r="L29" i="8"/>
  <c r="M29" i="8"/>
  <c r="O29" i="8"/>
  <c r="P29" i="8"/>
  <c r="R29" i="8"/>
  <c r="Y29" i="8"/>
  <c r="AA29" i="8"/>
  <c r="AB29" i="8"/>
  <c r="AD29" i="8"/>
  <c r="AE29" i="8"/>
  <c r="AV29" i="8"/>
  <c r="AW29" i="8"/>
  <c r="AX29" i="8"/>
  <c r="AF29" i="8" s="1"/>
  <c r="AY29" i="8"/>
  <c r="BG29" i="8" s="1"/>
  <c r="BI29" i="8" s="1"/>
  <c r="BB29" i="8"/>
  <c r="L30" i="8"/>
  <c r="M30" i="8"/>
  <c r="O30" i="8"/>
  <c r="P30" i="8"/>
  <c r="R30" i="8"/>
  <c r="V30" i="8"/>
  <c r="X30" i="8"/>
  <c r="Y30" i="8"/>
  <c r="AA30" i="8"/>
  <c r="AB30" i="8"/>
  <c r="AD30" i="8"/>
  <c r="AE30" i="8"/>
  <c r="AV30" i="8"/>
  <c r="AW30" i="8"/>
  <c r="AX30" i="8"/>
  <c r="AF30" i="8" s="1"/>
  <c r="AY30" i="8"/>
  <c r="BG30" i="8" s="1"/>
  <c r="BI30" i="8" s="1"/>
  <c r="BB30" i="8"/>
  <c r="M31" i="8"/>
  <c r="O31" i="8"/>
  <c r="P31" i="8"/>
  <c r="R31" i="8"/>
  <c r="U31" i="8"/>
  <c r="V31" i="8"/>
  <c r="W31" i="8"/>
  <c r="Y31" i="8"/>
  <c r="AA31" i="8"/>
  <c r="AB31" i="8"/>
  <c r="AD31" i="8"/>
  <c r="AE31" i="8"/>
  <c r="AC31" i="8" s="1"/>
  <c r="AF31" i="8"/>
  <c r="N31" i="8" s="1"/>
  <c r="AW31" i="8"/>
  <c r="AX31" i="8"/>
  <c r="L31" i="8" s="1"/>
  <c r="AY31" i="8"/>
  <c r="BB31" i="8"/>
  <c r="BF31" i="8"/>
  <c r="BG31" i="8"/>
  <c r="BI31" i="8" s="1"/>
  <c r="L32" i="8"/>
  <c r="M32" i="8"/>
  <c r="O32" i="8"/>
  <c r="P32" i="8"/>
  <c r="R32" i="8"/>
  <c r="T32" i="8"/>
  <c r="Y32" i="8"/>
  <c r="AA32" i="8"/>
  <c r="AB32" i="8"/>
  <c r="AD32" i="8"/>
  <c r="AE32" i="8"/>
  <c r="AF32" i="8"/>
  <c r="AV32" i="8"/>
  <c r="AW32" i="8"/>
  <c r="AX32" i="8"/>
  <c r="AY32" i="8"/>
  <c r="BB32" i="8"/>
  <c r="BF32" i="8"/>
  <c r="BH32" i="8" s="1"/>
  <c r="A1" i="7"/>
  <c r="B1" i="7"/>
  <c r="C1" i="7"/>
  <c r="D1" i="7"/>
  <c r="E1" i="7"/>
  <c r="H1" i="7"/>
  <c r="I1" i="7"/>
  <c r="J1" i="7"/>
  <c r="K1" i="7"/>
  <c r="L1" i="7"/>
  <c r="M1" i="7"/>
  <c r="N1" i="7"/>
  <c r="O1" i="7"/>
  <c r="P1" i="7"/>
  <c r="Q1" i="7"/>
  <c r="S1" i="7"/>
  <c r="V1" i="7"/>
  <c r="W1" i="7"/>
  <c r="X1" i="7"/>
  <c r="Y1" i="7"/>
  <c r="C8" i="7"/>
  <c r="M8" i="7"/>
  <c r="O8" i="7"/>
  <c r="S8" i="7"/>
  <c r="U8" i="7" s="1"/>
  <c r="T8" i="7"/>
  <c r="W8" i="7"/>
  <c r="AB8" i="7"/>
  <c r="AC8" i="7"/>
  <c r="AG8" i="7"/>
  <c r="AK8" i="7"/>
  <c r="C9" i="7"/>
  <c r="M9" i="7"/>
  <c r="O9" i="7"/>
  <c r="S9" i="7"/>
  <c r="T9" i="7"/>
  <c r="U9" i="7" s="1"/>
  <c r="W9" i="7"/>
  <c r="AB9" i="7"/>
  <c r="J9" i="7" s="1"/>
  <c r="AC9" i="7"/>
  <c r="AN9" i="7" s="1"/>
  <c r="AG9" i="7"/>
  <c r="AK9" i="7"/>
  <c r="AM9" i="7" s="1"/>
  <c r="AO9" i="7" s="1"/>
  <c r="AL9" i="7"/>
  <c r="C10" i="7"/>
  <c r="J10" i="7"/>
  <c r="M10" i="7"/>
  <c r="O10" i="7"/>
  <c r="S10" i="7"/>
  <c r="T10" i="7"/>
  <c r="U10" i="7"/>
  <c r="W10" i="7"/>
  <c r="AB10" i="7"/>
  <c r="AC10" i="7" s="1"/>
  <c r="AL10" i="7" s="1"/>
  <c r="AG10" i="7"/>
  <c r="AN10" i="7"/>
  <c r="C11" i="7"/>
  <c r="M11" i="7"/>
  <c r="O11" i="7"/>
  <c r="S11" i="7"/>
  <c r="U11" i="7" s="1"/>
  <c r="T11" i="7"/>
  <c r="W11" i="7"/>
  <c r="AB11" i="7"/>
  <c r="AC11" i="7"/>
  <c r="AG11" i="7"/>
  <c r="AK11" i="7"/>
  <c r="C12" i="7"/>
  <c r="M12" i="7"/>
  <c r="O12" i="7"/>
  <c r="S12" i="7"/>
  <c r="T12" i="7"/>
  <c r="U12" i="7" s="1"/>
  <c r="W12" i="7"/>
  <c r="AB12" i="7"/>
  <c r="J12" i="7" s="1"/>
  <c r="AC12" i="7"/>
  <c r="AG12" i="7"/>
  <c r="AK12" i="7"/>
  <c r="AL12" i="7"/>
  <c r="AN12" i="7" s="1"/>
  <c r="C13" i="7"/>
  <c r="M13" i="7"/>
  <c r="O13" i="7"/>
  <c r="S13" i="7"/>
  <c r="T13" i="7"/>
  <c r="U13" i="7"/>
  <c r="W13" i="7"/>
  <c r="AB13" i="7"/>
  <c r="AG13" i="7"/>
  <c r="C14" i="7"/>
  <c r="M14" i="7"/>
  <c r="O14" i="7"/>
  <c r="S14" i="7"/>
  <c r="U14" i="7" s="1"/>
  <c r="T14" i="7"/>
  <c r="W14" i="7"/>
  <c r="AB14" i="7"/>
  <c r="AC14" i="7"/>
  <c r="AG14" i="7"/>
  <c r="AK14" i="7"/>
  <c r="C15" i="7"/>
  <c r="M15" i="7"/>
  <c r="O15" i="7"/>
  <c r="S15" i="7"/>
  <c r="T15" i="7"/>
  <c r="U15" i="7" s="1"/>
  <c r="W15" i="7"/>
  <c r="AB15" i="7"/>
  <c r="J15" i="7" s="1"/>
  <c r="AC15" i="7"/>
  <c r="AG15" i="7"/>
  <c r="AK15" i="7"/>
  <c r="AL15" i="7"/>
  <c r="AN15" i="7" s="1"/>
  <c r="C16" i="7"/>
  <c r="M16" i="7"/>
  <c r="O16" i="7"/>
  <c r="S16" i="7"/>
  <c r="T16" i="7"/>
  <c r="U16" i="7"/>
  <c r="W16" i="7"/>
  <c r="AB16" i="7"/>
  <c r="AG16" i="7"/>
  <c r="C17" i="7"/>
  <c r="M17" i="7"/>
  <c r="O17" i="7"/>
  <c r="S17" i="7"/>
  <c r="U17" i="7" s="1"/>
  <c r="T17" i="7"/>
  <c r="W17" i="7"/>
  <c r="AB17" i="7"/>
  <c r="AC17" i="7"/>
  <c r="AG17" i="7"/>
  <c r="AK17" i="7"/>
  <c r="C18" i="7"/>
  <c r="M18" i="7"/>
  <c r="O18" i="7"/>
  <c r="S18" i="7"/>
  <c r="T18" i="7"/>
  <c r="U18" i="7" s="1"/>
  <c r="W18" i="7"/>
  <c r="AB18" i="7"/>
  <c r="J18" i="7" s="1"/>
  <c r="AC18" i="7"/>
  <c r="AG18" i="7"/>
  <c r="AK18" i="7"/>
  <c r="AL18" i="7"/>
  <c r="AN18" i="7" s="1"/>
  <c r="C19" i="7"/>
  <c r="M19" i="7"/>
  <c r="O19" i="7"/>
  <c r="S19" i="7"/>
  <c r="T19" i="7"/>
  <c r="U19" i="7"/>
  <c r="W19" i="7"/>
  <c r="AB19" i="7"/>
  <c r="AG19" i="7"/>
  <c r="C20" i="7"/>
  <c r="M20" i="7"/>
  <c r="O20" i="7"/>
  <c r="S20" i="7"/>
  <c r="U20" i="7" s="1"/>
  <c r="T20" i="7"/>
  <c r="W20" i="7"/>
  <c r="AB20" i="7"/>
  <c r="AC20" i="7"/>
  <c r="AG20" i="7"/>
  <c r="AK20" i="7"/>
  <c r="C21" i="7"/>
  <c r="M21" i="7"/>
  <c r="O21" i="7"/>
  <c r="S21" i="7"/>
  <c r="T21" i="7"/>
  <c r="U21" i="7" s="1"/>
  <c r="W21" i="7"/>
  <c r="AB21" i="7"/>
  <c r="J21" i="7" s="1"/>
  <c r="AC21" i="7"/>
  <c r="AG21" i="7"/>
  <c r="AK21" i="7"/>
  <c r="AL21" i="7"/>
  <c r="AN21" i="7" s="1"/>
  <c r="C22" i="7"/>
  <c r="M22" i="7"/>
  <c r="O22" i="7"/>
  <c r="S22" i="7"/>
  <c r="T22" i="7"/>
  <c r="U22" i="7"/>
  <c r="W22" i="7"/>
  <c r="AB22" i="7"/>
  <c r="AG22" i="7"/>
  <c r="C23" i="7"/>
  <c r="M23" i="7"/>
  <c r="O23" i="7"/>
  <c r="S23" i="7"/>
  <c r="U23" i="7" s="1"/>
  <c r="T23" i="7"/>
  <c r="W23" i="7"/>
  <c r="AB23" i="7"/>
  <c r="AC23" i="7" s="1"/>
  <c r="AG23" i="7"/>
  <c r="C24" i="7"/>
  <c r="M24" i="7"/>
  <c r="O24" i="7"/>
  <c r="S24" i="7"/>
  <c r="T24" i="7"/>
  <c r="U24" i="7"/>
  <c r="W24" i="7"/>
  <c r="AB24" i="7"/>
  <c r="J24" i="7" s="1"/>
  <c r="AC24" i="7"/>
  <c r="AG24" i="7"/>
  <c r="AK24" i="7"/>
  <c r="AL24" i="7"/>
  <c r="AN24" i="7"/>
  <c r="C25" i="7"/>
  <c r="J25" i="7"/>
  <c r="M25" i="7"/>
  <c r="O25" i="7"/>
  <c r="S25" i="7"/>
  <c r="T25" i="7"/>
  <c r="U25" i="7"/>
  <c r="W25" i="7"/>
  <c r="AB25" i="7"/>
  <c r="AC25" i="7" s="1"/>
  <c r="AG25" i="7"/>
  <c r="AL25" i="7"/>
  <c r="AN25" i="7" s="1"/>
  <c r="C26" i="7"/>
  <c r="M26" i="7"/>
  <c r="O26" i="7"/>
  <c r="S26" i="7"/>
  <c r="U26" i="7" s="1"/>
  <c r="T26" i="7"/>
  <c r="W26" i="7"/>
  <c r="AB26" i="7"/>
  <c r="AC26" i="7"/>
  <c r="AL26" i="7" s="1"/>
  <c r="AG26" i="7"/>
  <c r="AK26" i="7"/>
  <c r="C27" i="7"/>
  <c r="M27" i="7"/>
  <c r="O27" i="7"/>
  <c r="S27" i="7"/>
  <c r="U27" i="7" s="1"/>
  <c r="T27" i="7"/>
  <c r="W27" i="7"/>
  <c r="AB27" i="7"/>
  <c r="J27" i="7" s="1"/>
  <c r="AC27" i="7"/>
  <c r="AG27" i="7"/>
  <c r="AK27" i="7"/>
  <c r="AL27" i="7"/>
  <c r="AN27" i="7"/>
  <c r="C28" i="7"/>
  <c r="J28" i="7"/>
  <c r="M28" i="7"/>
  <c r="O28" i="7"/>
  <c r="S28" i="7"/>
  <c r="T28" i="7"/>
  <c r="U28" i="7" s="1"/>
  <c r="W28" i="7"/>
  <c r="AB28" i="7"/>
  <c r="AC28" i="7" s="1"/>
  <c r="AG28" i="7"/>
  <c r="AK28" i="7"/>
  <c r="AL28" i="7"/>
  <c r="AM28" i="7"/>
  <c r="AO28" i="7" s="1"/>
  <c r="AN28" i="7"/>
  <c r="C29" i="7"/>
  <c r="M29" i="7"/>
  <c r="O29" i="7"/>
  <c r="S29" i="7"/>
  <c r="U29" i="7" s="1"/>
  <c r="T29" i="7"/>
  <c r="W29" i="7"/>
  <c r="AB29" i="7"/>
  <c r="AG29" i="7"/>
  <c r="C30" i="7"/>
  <c r="M30" i="7"/>
  <c r="O30" i="7"/>
  <c r="S30" i="7"/>
  <c r="T30" i="7"/>
  <c r="U30" i="7"/>
  <c r="W30" i="7"/>
  <c r="AB30" i="7"/>
  <c r="J30" i="7" s="1"/>
  <c r="AC30" i="7"/>
  <c r="AG30" i="7"/>
  <c r="AK30" i="7"/>
  <c r="AL30" i="7"/>
  <c r="AN30" i="7" s="1"/>
  <c r="C31" i="7"/>
  <c r="J31" i="7"/>
  <c r="M31" i="7"/>
  <c r="O31" i="7"/>
  <c r="S31" i="7"/>
  <c r="T31" i="7"/>
  <c r="U31" i="7" s="1"/>
  <c r="W31" i="7"/>
  <c r="AB31" i="7"/>
  <c r="AC31" i="7" s="1"/>
  <c r="AG31" i="7"/>
  <c r="AK31" i="7"/>
  <c r="AM31" i="7" s="1"/>
  <c r="AO31" i="7" s="1"/>
  <c r="AL31" i="7"/>
  <c r="AN31" i="7" s="1"/>
  <c r="C32" i="7"/>
  <c r="M32" i="7"/>
  <c r="O32" i="7"/>
  <c r="S32" i="7"/>
  <c r="T32" i="7"/>
  <c r="U32" i="7"/>
  <c r="W32" i="7"/>
  <c r="AB32" i="7"/>
  <c r="AC32" i="7" s="1"/>
  <c r="AG32" i="7"/>
  <c r="C33" i="7"/>
  <c r="M33" i="7"/>
  <c r="O33" i="7"/>
  <c r="S33" i="7"/>
  <c r="T33" i="7"/>
  <c r="U33" i="7" s="1"/>
  <c r="W33" i="7"/>
  <c r="AB33" i="7"/>
  <c r="J33" i="7" s="1"/>
  <c r="AC33" i="7"/>
  <c r="AG33" i="7"/>
  <c r="AK33" i="7"/>
  <c r="AL33" i="7"/>
  <c r="AN33" i="7" s="1"/>
  <c r="C34" i="7"/>
  <c r="J34" i="7"/>
  <c r="M34" i="7"/>
  <c r="O34" i="7"/>
  <c r="S34" i="7"/>
  <c r="T34" i="7"/>
  <c r="U34" i="7" s="1"/>
  <c r="W34" i="7"/>
  <c r="AB34" i="7"/>
  <c r="AC34" i="7" s="1"/>
  <c r="AL34" i="7" s="1"/>
  <c r="AN34" i="7" s="1"/>
  <c r="AG34" i="7"/>
  <c r="C35" i="7"/>
  <c r="M35" i="7"/>
  <c r="O35" i="7"/>
  <c r="S35" i="7"/>
  <c r="T35" i="7"/>
  <c r="U35" i="7"/>
  <c r="W35" i="7"/>
  <c r="AB35" i="7"/>
  <c r="AC35" i="7" s="1"/>
  <c r="AG35" i="7"/>
  <c r="AK35" i="7"/>
  <c r="C36" i="7"/>
  <c r="M36" i="7"/>
  <c r="O36" i="7"/>
  <c r="S36" i="7"/>
  <c r="U36" i="7" s="1"/>
  <c r="T36" i="7"/>
  <c r="W36" i="7"/>
  <c r="AB36" i="7"/>
  <c r="J36" i="7" s="1"/>
  <c r="AC36" i="7"/>
  <c r="AL36" i="7" s="1"/>
  <c r="AG36" i="7"/>
  <c r="AK36" i="7"/>
  <c r="C37" i="7"/>
  <c r="J37" i="7"/>
  <c r="M37" i="7"/>
  <c r="O37" i="7"/>
  <c r="S37" i="7"/>
  <c r="T37" i="7"/>
  <c r="U37" i="7" s="1"/>
  <c r="W37" i="7"/>
  <c r="AB37" i="7"/>
  <c r="AC37" i="7" s="1"/>
  <c r="AG37" i="7"/>
  <c r="AK37" i="7"/>
  <c r="AL37" i="7"/>
  <c r="AM37" i="7"/>
  <c r="AO37" i="7" s="1"/>
  <c r="AN37" i="7"/>
  <c r="C38" i="7"/>
  <c r="M38" i="7"/>
  <c r="O38" i="7"/>
  <c r="S38" i="7"/>
  <c r="U38" i="7" s="1"/>
  <c r="T38" i="7"/>
  <c r="W38" i="7"/>
  <c r="AB38" i="7"/>
  <c r="AG38" i="7"/>
  <c r="C39" i="7"/>
  <c r="M39" i="7"/>
  <c r="O39" i="7"/>
  <c r="S39" i="7"/>
  <c r="T39" i="7"/>
  <c r="U39" i="7"/>
  <c r="W39" i="7"/>
  <c r="AB39" i="7"/>
  <c r="J39" i="7" s="1"/>
  <c r="AC39" i="7"/>
  <c r="AG39" i="7"/>
  <c r="AK39" i="7"/>
  <c r="AL39" i="7"/>
  <c r="AN39" i="7" s="1"/>
  <c r="C40" i="7"/>
  <c r="J40" i="7"/>
  <c r="M40" i="7"/>
  <c r="O40" i="7"/>
  <c r="S40" i="7"/>
  <c r="T40" i="7"/>
  <c r="U40" i="7" s="1"/>
  <c r="W40" i="7"/>
  <c r="AB40" i="7"/>
  <c r="AC40" i="7" s="1"/>
  <c r="AG40" i="7"/>
  <c r="AK40" i="7"/>
  <c r="AM40" i="7" s="1"/>
  <c r="AL40" i="7"/>
  <c r="AN40" i="7" s="1"/>
  <c r="C41" i="7"/>
  <c r="M41" i="7"/>
  <c r="O41" i="7"/>
  <c r="S41" i="7"/>
  <c r="T41" i="7"/>
  <c r="U41" i="7"/>
  <c r="W41" i="7"/>
  <c r="AB41" i="7"/>
  <c r="AC41" i="7" s="1"/>
  <c r="AG41" i="7"/>
  <c r="C42" i="7"/>
  <c r="M42" i="7"/>
  <c r="O42" i="7"/>
  <c r="S42" i="7"/>
  <c r="T42" i="7"/>
  <c r="U42" i="7" s="1"/>
  <c r="W42" i="7"/>
  <c r="AB42" i="7"/>
  <c r="J42" i="7" s="1"/>
  <c r="AC42" i="7"/>
  <c r="AG42" i="7"/>
  <c r="AK42" i="7"/>
  <c r="AL42" i="7"/>
  <c r="AN42" i="7" s="1"/>
  <c r="C43" i="7"/>
  <c r="J43" i="7"/>
  <c r="M43" i="7"/>
  <c r="O43" i="7"/>
  <c r="S43" i="7"/>
  <c r="T43" i="7"/>
  <c r="U43" i="7" s="1"/>
  <c r="W43" i="7"/>
  <c r="AB43" i="7"/>
  <c r="AC43" i="7" s="1"/>
  <c r="AL43" i="7" s="1"/>
  <c r="AN43" i="7" s="1"/>
  <c r="AG43" i="7"/>
  <c r="C44" i="7"/>
  <c r="M44" i="7"/>
  <c r="O44" i="7"/>
  <c r="S44" i="7"/>
  <c r="T44" i="7"/>
  <c r="U44" i="7"/>
  <c r="W44" i="7"/>
  <c r="AB44" i="7"/>
  <c r="AC44" i="7" s="1"/>
  <c r="AG44" i="7"/>
  <c r="AK44" i="7"/>
  <c r="C45" i="7"/>
  <c r="M45" i="7"/>
  <c r="O45" i="7"/>
  <c r="S45" i="7"/>
  <c r="U45" i="7" s="1"/>
  <c r="T45" i="7"/>
  <c r="W45" i="7"/>
  <c r="AB45" i="7"/>
  <c r="AC45" i="7" s="1"/>
  <c r="AG45" i="7"/>
  <c r="C46" i="7"/>
  <c r="M46" i="7"/>
  <c r="O46" i="7"/>
  <c r="S46" i="7"/>
  <c r="T46" i="7"/>
  <c r="U46" i="7" s="1"/>
  <c r="W46" i="7"/>
  <c r="AB46" i="7"/>
  <c r="AC46" i="7" s="1"/>
  <c r="AG46" i="7"/>
  <c r="AK46" i="7"/>
  <c r="AM46" i="7" s="1"/>
  <c r="C47" i="7"/>
  <c r="M47" i="7"/>
  <c r="O47" i="7"/>
  <c r="S47" i="7"/>
  <c r="T47" i="7"/>
  <c r="U47" i="7"/>
  <c r="W47" i="7"/>
  <c r="AB47" i="7"/>
  <c r="AK47" i="7" s="1"/>
  <c r="AG47" i="7"/>
  <c r="C48" i="7"/>
  <c r="M48" i="7"/>
  <c r="O48" i="7"/>
  <c r="S48" i="7"/>
  <c r="U48" i="7" s="1"/>
  <c r="T48" i="7"/>
  <c r="W48" i="7"/>
  <c r="AB48" i="7"/>
  <c r="AC48" i="7" s="1"/>
  <c r="AG48" i="7"/>
  <c r="C49" i="7"/>
  <c r="M49" i="7"/>
  <c r="O49" i="7"/>
  <c r="S49" i="7"/>
  <c r="T49" i="7"/>
  <c r="U49" i="7" s="1"/>
  <c r="W49" i="7"/>
  <c r="AB49" i="7"/>
  <c r="AC49" i="7" s="1"/>
  <c r="AG49" i="7"/>
  <c r="AK49" i="7"/>
  <c r="C50" i="7"/>
  <c r="M50" i="7"/>
  <c r="O50" i="7"/>
  <c r="S50" i="7"/>
  <c r="T50" i="7"/>
  <c r="U50" i="7"/>
  <c r="W50" i="7"/>
  <c r="AB50" i="7"/>
  <c r="AK50" i="7" s="1"/>
  <c r="AG50" i="7"/>
  <c r="C51" i="7"/>
  <c r="M51" i="7"/>
  <c r="O51" i="7"/>
  <c r="S51" i="7"/>
  <c r="U51" i="7" s="1"/>
  <c r="T51" i="7"/>
  <c r="W51" i="7"/>
  <c r="AB51" i="7"/>
  <c r="AC51" i="7" s="1"/>
  <c r="AG51" i="7"/>
  <c r="C52" i="7"/>
  <c r="M52" i="7"/>
  <c r="O52" i="7"/>
  <c r="S52" i="7"/>
  <c r="T52" i="7"/>
  <c r="U52" i="7" s="1"/>
  <c r="W52" i="7"/>
  <c r="AB52" i="7"/>
  <c r="AC52" i="7" s="1"/>
  <c r="AG52" i="7"/>
  <c r="AK52" i="7"/>
  <c r="C53" i="7"/>
  <c r="M53" i="7"/>
  <c r="O53" i="7"/>
  <c r="S53" i="7"/>
  <c r="T53" i="7"/>
  <c r="U53" i="7"/>
  <c r="W53" i="7"/>
  <c r="AB53" i="7"/>
  <c r="AK53" i="7" s="1"/>
  <c r="AG53" i="7"/>
  <c r="A1" i="5"/>
  <c r="B1" i="5"/>
  <c r="C1" i="5"/>
  <c r="D1" i="5"/>
  <c r="E1" i="5"/>
  <c r="G1" i="5"/>
  <c r="H1" i="5"/>
  <c r="J1" i="5"/>
  <c r="K1" i="5"/>
  <c r="L1" i="5"/>
  <c r="M1" i="5"/>
  <c r="N1" i="5"/>
  <c r="O1" i="5"/>
  <c r="P1" i="5"/>
  <c r="Q1" i="5"/>
  <c r="R1" i="5"/>
  <c r="S1" i="5"/>
  <c r="B70" i="12" l="1"/>
  <c r="B97" i="12"/>
  <c r="B90" i="12"/>
  <c r="B63" i="12"/>
  <c r="B89" i="12"/>
  <c r="B62" i="12"/>
  <c r="B91" i="12"/>
  <c r="B86" i="12"/>
  <c r="B59" i="12"/>
  <c r="B64" i="12"/>
  <c r="C63" i="12"/>
  <c r="C64" i="12"/>
  <c r="C89" i="12"/>
  <c r="C62" i="12"/>
  <c r="C59" i="12"/>
  <c r="C91" i="12"/>
  <c r="C86" i="12"/>
  <c r="C90" i="12"/>
  <c r="B36" i="12"/>
  <c r="B35" i="12"/>
  <c r="B32" i="12"/>
  <c r="B37" i="12"/>
  <c r="C36" i="12"/>
  <c r="C35" i="12"/>
  <c r="C32" i="12"/>
  <c r="C37" i="12"/>
  <c r="B43" i="12"/>
  <c r="B15" i="12"/>
  <c r="B8" i="12"/>
  <c r="B10" i="12"/>
  <c r="B5" i="12"/>
  <c r="B9" i="12"/>
  <c r="B16" i="12"/>
  <c r="C8" i="12"/>
  <c r="C10" i="12"/>
  <c r="C5" i="12"/>
  <c r="C9" i="12"/>
  <c r="C18" i="1"/>
  <c r="D9" i="1" s="1"/>
  <c r="C57" i="4"/>
  <c r="E50" i="4"/>
  <c r="C33" i="4"/>
  <c r="C18" i="4"/>
  <c r="AL41" i="7"/>
  <c r="J41" i="7"/>
  <c r="AN41" i="7"/>
  <c r="AL49" i="7"/>
  <c r="AN49" i="7" s="1"/>
  <c r="AN46" i="7"/>
  <c r="AL46" i="7"/>
  <c r="AL35" i="7"/>
  <c r="AN35" i="7"/>
  <c r="AM29" i="7"/>
  <c r="AL51" i="7"/>
  <c r="AN51" i="7"/>
  <c r="AL23" i="7"/>
  <c r="AN23" i="7" s="1"/>
  <c r="AL44" i="7"/>
  <c r="AN44" i="7"/>
  <c r="AL48" i="7"/>
  <c r="AN48" i="7"/>
  <c r="AO46" i="7"/>
  <c r="AO40" i="7"/>
  <c r="AL32" i="7"/>
  <c r="J32" i="7"/>
  <c r="AN32" i="7"/>
  <c r="AL52" i="7"/>
  <c r="AN52" i="7" s="1"/>
  <c r="AL45" i="7"/>
  <c r="AN45" i="7" s="1"/>
  <c r="AC53" i="7"/>
  <c r="AM52" i="7"/>
  <c r="J52" i="7"/>
  <c r="AC50" i="7"/>
  <c r="AM49" i="7"/>
  <c r="J49" i="7"/>
  <c r="AC47" i="7"/>
  <c r="J46" i="7"/>
  <c r="AK43" i="7"/>
  <c r="AK38" i="7"/>
  <c r="AM38" i="7" s="1"/>
  <c r="AK34" i="7"/>
  <c r="AK29" i="7"/>
  <c r="AK23" i="7"/>
  <c r="AC28" i="8"/>
  <c r="AF26" i="8"/>
  <c r="BF26" i="8"/>
  <c r="BH26" i="8"/>
  <c r="L26" i="8"/>
  <c r="X22" i="8"/>
  <c r="N20" i="8"/>
  <c r="Z20" i="8"/>
  <c r="Q20" i="8"/>
  <c r="AC20" i="8"/>
  <c r="S20" i="8"/>
  <c r="T20" i="8"/>
  <c r="U20" i="8"/>
  <c r="W20" i="8"/>
  <c r="BG14" i="8"/>
  <c r="BI14" i="8" s="1"/>
  <c r="BJ14" i="8" s="1"/>
  <c r="BC14" i="8" s="1"/>
  <c r="W11" i="8"/>
  <c r="X11" i="8"/>
  <c r="Z11" i="8"/>
  <c r="AC11" i="8"/>
  <c r="V11" i="8"/>
  <c r="AF14" i="8"/>
  <c r="BF14" i="8"/>
  <c r="BH14" i="8"/>
  <c r="L14" i="8"/>
  <c r="AC38" i="7"/>
  <c r="J38" i="7" s="1"/>
  <c r="AC29" i="7"/>
  <c r="AC15" i="8"/>
  <c r="N12" i="8"/>
  <c r="Q12" i="8"/>
  <c r="S12" i="8"/>
  <c r="U12" i="8"/>
  <c r="Z8" i="8"/>
  <c r="J23" i="7"/>
  <c r="AM23" i="7"/>
  <c r="AC22" i="7"/>
  <c r="AK22" i="7"/>
  <c r="AM22" i="7" s="1"/>
  <c r="AN20" i="7"/>
  <c r="AL20" i="7"/>
  <c r="X32" i="8"/>
  <c r="N32" i="8"/>
  <c r="Q32" i="8"/>
  <c r="AG32" i="8" s="1"/>
  <c r="AH32" i="8" s="1"/>
  <c r="AJ32" i="8" s="1"/>
  <c r="S32" i="8"/>
  <c r="U32" i="8"/>
  <c r="BJ31" i="8"/>
  <c r="BC31" i="8" s="1"/>
  <c r="V26" i="8"/>
  <c r="BG25" i="8"/>
  <c r="BI25" i="8"/>
  <c r="W23" i="8"/>
  <c r="X23" i="8"/>
  <c r="Z23" i="8"/>
  <c r="AC23" i="8"/>
  <c r="V23" i="8"/>
  <c r="Q18" i="8"/>
  <c r="S18" i="8"/>
  <c r="T18" i="8"/>
  <c r="U18" i="8"/>
  <c r="BG13" i="8"/>
  <c r="BI13" i="8"/>
  <c r="V12" i="8"/>
  <c r="V10" i="8"/>
  <c r="Q29" i="8"/>
  <c r="AC29" i="8"/>
  <c r="S29" i="8"/>
  <c r="T29" i="8"/>
  <c r="U29" i="8"/>
  <c r="V29" i="8"/>
  <c r="X29" i="8"/>
  <c r="N29" i="8"/>
  <c r="AI29" i="8" s="1"/>
  <c r="AK29" i="8" s="1"/>
  <c r="Z29" i="8"/>
  <c r="AM51" i="7"/>
  <c r="AO51" i="7" s="1"/>
  <c r="J51" i="7"/>
  <c r="AM48" i="7"/>
  <c r="AO48" i="7" s="1"/>
  <c r="J48" i="7"/>
  <c r="AK41" i="7"/>
  <c r="AM41" i="7" s="1"/>
  <c r="AO41" i="7" s="1"/>
  <c r="AN36" i="7"/>
  <c r="AK32" i="7"/>
  <c r="AM32" i="7" s="1"/>
  <c r="J20" i="7"/>
  <c r="AM20" i="7"/>
  <c r="AC19" i="7"/>
  <c r="AK19" i="7"/>
  <c r="AM19" i="7" s="1"/>
  <c r="AN17" i="7"/>
  <c r="AL17" i="7"/>
  <c r="V32" i="8"/>
  <c r="Z28" i="8"/>
  <c r="S25" i="8"/>
  <c r="T25" i="8"/>
  <c r="U25" i="8"/>
  <c r="V25" i="8"/>
  <c r="N25" i="8"/>
  <c r="AG25" i="8" s="1"/>
  <c r="AH25" i="8" s="1"/>
  <c r="AJ25" i="8" s="1"/>
  <c r="Z25" i="8"/>
  <c r="N21" i="8"/>
  <c r="Z21" i="8"/>
  <c r="Q21" i="8"/>
  <c r="S21" i="8"/>
  <c r="T21" i="8"/>
  <c r="V21" i="8"/>
  <c r="U13" i="8"/>
  <c r="AG13" i="8" s="1"/>
  <c r="AH13" i="8" s="1"/>
  <c r="AJ13" i="8" s="1"/>
  <c r="N13" i="8"/>
  <c r="T13" i="8"/>
  <c r="BJ10" i="8"/>
  <c r="BC10" i="8" s="1"/>
  <c r="J17" i="7"/>
  <c r="AM17" i="7"/>
  <c r="AC16" i="7"/>
  <c r="AK16" i="7"/>
  <c r="AM16" i="7" s="1"/>
  <c r="AN14" i="7"/>
  <c r="AL14" i="7"/>
  <c r="AC13" i="7"/>
  <c r="AK13" i="7"/>
  <c r="AM13" i="7" s="1"/>
  <c r="AL11" i="7"/>
  <c r="AN11" i="7" s="1"/>
  <c r="AN8" i="7"/>
  <c r="AL8" i="7"/>
  <c r="N30" i="8"/>
  <c r="Z30" i="8"/>
  <c r="Q30" i="8"/>
  <c r="AC30" i="8"/>
  <c r="S30" i="8"/>
  <c r="T30" i="8"/>
  <c r="U30" i="8"/>
  <c r="W30" i="8"/>
  <c r="AI25" i="8"/>
  <c r="AK25" i="8" s="1"/>
  <c r="V22" i="8"/>
  <c r="N18" i="8"/>
  <c r="AG18" i="8" s="1"/>
  <c r="AH18" i="8" s="1"/>
  <c r="AJ18" i="8" s="1"/>
  <c r="AF16" i="8"/>
  <c r="BF16" i="8"/>
  <c r="BH16" i="8" s="1"/>
  <c r="BJ16" i="8" s="1"/>
  <c r="BC16" i="8" s="1"/>
  <c r="L16" i="8"/>
  <c r="N9" i="8"/>
  <c r="Z9" i="8"/>
  <c r="Q9" i="8"/>
  <c r="AC9" i="8"/>
  <c r="S9" i="8"/>
  <c r="T9" i="8"/>
  <c r="V9" i="8"/>
  <c r="X9" i="8"/>
  <c r="AK51" i="7"/>
  <c r="AK48" i="7"/>
  <c r="AK45" i="7"/>
  <c r="AM45" i="7" s="1"/>
  <c r="AO45" i="7" s="1"/>
  <c r="J44" i="7"/>
  <c r="J35" i="7"/>
  <c r="AN26" i="7"/>
  <c r="J14" i="7"/>
  <c r="J11" i="7"/>
  <c r="J8" i="7"/>
  <c r="BJ22" i="8"/>
  <c r="BC22" i="8" s="1"/>
  <c r="BI11" i="8"/>
  <c r="BJ11" i="8" s="1"/>
  <c r="BC11" i="8" s="1"/>
  <c r="AM44" i="7"/>
  <c r="AO44" i="7" s="1"/>
  <c r="AM35" i="7"/>
  <c r="AC18" i="8"/>
  <c r="V13" i="8"/>
  <c r="W13" i="8"/>
  <c r="X13" i="8"/>
  <c r="Z13" i="8"/>
  <c r="X8" i="8"/>
  <c r="AM53" i="7"/>
  <c r="J53" i="7"/>
  <c r="AM50" i="7"/>
  <c r="J50" i="7"/>
  <c r="AM47" i="7"/>
  <c r="Q28" i="8"/>
  <c r="S28" i="8"/>
  <c r="T28" i="8"/>
  <c r="U28" i="8"/>
  <c r="AF24" i="8"/>
  <c r="BF24" i="8"/>
  <c r="BH24" i="8" s="1"/>
  <c r="L24" i="8"/>
  <c r="Q19" i="8"/>
  <c r="AC19" i="8"/>
  <c r="S19" i="8"/>
  <c r="T19" i="8"/>
  <c r="U19" i="8"/>
  <c r="V19" i="8"/>
  <c r="X19" i="8"/>
  <c r="N19" i="8"/>
  <c r="AG19" i="8" s="1"/>
  <c r="AH19" i="8" s="1"/>
  <c r="AJ19" i="8" s="1"/>
  <c r="V16" i="8"/>
  <c r="BG15" i="8"/>
  <c r="BI15" i="8" s="1"/>
  <c r="T12" i="8"/>
  <c r="AG12" i="8" s="1"/>
  <c r="AH12" i="8" s="1"/>
  <c r="AJ12" i="8" s="1"/>
  <c r="J45" i="7"/>
  <c r="BJ26" i="8"/>
  <c r="S15" i="8"/>
  <c r="AG15" i="8" s="1"/>
  <c r="AH15" i="8" s="1"/>
  <c r="AJ15" i="8" s="1"/>
  <c r="T15" i="8"/>
  <c r="U15" i="8"/>
  <c r="V15" i="8"/>
  <c r="W15" i="8"/>
  <c r="X15" i="8"/>
  <c r="N15" i="8"/>
  <c r="AI15" i="8" s="1"/>
  <c r="AK15" i="8" s="1"/>
  <c r="Z15" i="8"/>
  <c r="X10" i="8"/>
  <c r="N10" i="8"/>
  <c r="Z10" i="8"/>
  <c r="Q10" i="8"/>
  <c r="AI10" i="8" s="1"/>
  <c r="AK10" i="8" s="1"/>
  <c r="AC10" i="8"/>
  <c r="S10" i="8"/>
  <c r="U10" i="8"/>
  <c r="N8" i="8"/>
  <c r="Q8" i="8"/>
  <c r="AC8" i="8"/>
  <c r="S8" i="8"/>
  <c r="T8" i="8"/>
  <c r="U8" i="8"/>
  <c r="W8" i="8"/>
  <c r="AM43" i="7"/>
  <c r="AO43" i="7" s="1"/>
  <c r="AM34" i="7"/>
  <c r="AO34" i="7" s="1"/>
  <c r="J29" i="7"/>
  <c r="J26" i="7"/>
  <c r="AM26" i="7"/>
  <c r="AO26" i="7" s="1"/>
  <c r="AK25" i="7"/>
  <c r="AM25" i="7" s="1"/>
  <c r="AO25" i="7" s="1"/>
  <c r="J22" i="7"/>
  <c r="N28" i="8"/>
  <c r="BG23" i="8"/>
  <c r="BI23" i="8" s="1"/>
  <c r="BJ23" i="8" s="1"/>
  <c r="BC23" i="8" s="1"/>
  <c r="X20" i="8"/>
  <c r="BG12" i="8"/>
  <c r="BI12" i="8" s="1"/>
  <c r="BJ12" i="8" s="1"/>
  <c r="BC12" i="8" s="1"/>
  <c r="W10" i="8"/>
  <c r="W29" i="8"/>
  <c r="AG28" i="8"/>
  <c r="AH28" i="8" s="1"/>
  <c r="AJ28" i="8" s="1"/>
  <c r="N22" i="8"/>
  <c r="AI22" i="8" s="1"/>
  <c r="AK22" i="8" s="1"/>
  <c r="Z22" i="8"/>
  <c r="Q22" i="8"/>
  <c r="S22" i="8"/>
  <c r="U22" i="8"/>
  <c r="AG22" i="8" s="1"/>
  <c r="AH22" i="8" s="1"/>
  <c r="AJ22" i="8" s="1"/>
  <c r="Z18" i="8"/>
  <c r="AG17" i="8"/>
  <c r="AH17" i="8" s="1"/>
  <c r="AJ17" i="8" s="1"/>
  <c r="BH12" i="8"/>
  <c r="W9" i="8"/>
  <c r="AG8" i="8"/>
  <c r="AH8" i="8" s="1"/>
  <c r="AJ8" i="8" s="1"/>
  <c r="BG32" i="8"/>
  <c r="BI32" i="8" s="1"/>
  <c r="BJ32" i="8" s="1"/>
  <c r="BC32" i="8" s="1"/>
  <c r="BH31" i="8"/>
  <c r="X31" i="8"/>
  <c r="AC26" i="8"/>
  <c r="BF23" i="8"/>
  <c r="W22" i="8"/>
  <c r="X21" i="8"/>
  <c r="L21" i="8"/>
  <c r="BF13" i="8"/>
  <c r="BH13" i="8" s="1"/>
  <c r="L9" i="8"/>
  <c r="T23" i="8"/>
  <c r="Z17" i="8"/>
  <c r="N17" i="8"/>
  <c r="T11" i="8"/>
  <c r="AC32" i="8"/>
  <c r="T31" i="8"/>
  <c r="AI28" i="8"/>
  <c r="AK28" i="8" s="1"/>
  <c r="W28" i="8"/>
  <c r="X27" i="8"/>
  <c r="BF21" i="8"/>
  <c r="BH21" i="8" s="1"/>
  <c r="BJ21" i="8" s="1"/>
  <c r="BC21" i="8" s="1"/>
  <c r="AI18" i="8"/>
  <c r="AK18" i="8" s="1"/>
  <c r="W18" i="8"/>
  <c r="X17" i="8"/>
  <c r="AC12" i="8"/>
  <c r="BF9" i="8"/>
  <c r="BH9" i="8" s="1"/>
  <c r="BJ9" i="8" s="1"/>
  <c r="BC9" i="8" s="1"/>
  <c r="AK10" i="7"/>
  <c r="AM10" i="7" s="1"/>
  <c r="AO10" i="7" s="1"/>
  <c r="S31" i="8"/>
  <c r="BF30" i="8"/>
  <c r="BH30" i="8" s="1"/>
  <c r="BJ30" i="8" s="1"/>
  <c r="BC30" i="8" s="1"/>
  <c r="BH28" i="8"/>
  <c r="BJ28" i="8" s="1"/>
  <c r="BC28" i="8" s="1"/>
  <c r="V28" i="8"/>
  <c r="BI27" i="8"/>
  <c r="BJ27" i="8" s="1"/>
  <c r="BC27" i="8" s="1"/>
  <c r="W27" i="8"/>
  <c r="X26" i="8"/>
  <c r="Q23" i="8"/>
  <c r="AG23" i="8" s="1"/>
  <c r="AH23" i="8" s="1"/>
  <c r="BF20" i="8"/>
  <c r="BH20" i="8" s="1"/>
  <c r="BJ20" i="8" s="1"/>
  <c r="BC20" i="8" s="1"/>
  <c r="V18" i="8"/>
  <c r="W17" i="8"/>
  <c r="Q11" i="8"/>
  <c r="AG11" i="8" s="1"/>
  <c r="AH11" i="8" s="1"/>
  <c r="AJ11" i="8" s="1"/>
  <c r="BF8" i="8"/>
  <c r="BH8" i="8" s="1"/>
  <c r="BJ8" i="8" s="1"/>
  <c r="BC8" i="8" s="1"/>
  <c r="BF29" i="8"/>
  <c r="BH29" i="8" s="1"/>
  <c r="BJ29" i="8" s="1"/>
  <c r="BC29" i="8" s="1"/>
  <c r="V27" i="8"/>
  <c r="AI27" i="8" s="1"/>
  <c r="AK27" i="8" s="1"/>
  <c r="W26" i="8"/>
  <c r="X25" i="8"/>
  <c r="L25" i="8"/>
  <c r="AC22" i="8"/>
  <c r="BF19" i="8"/>
  <c r="BH19" i="8" s="1"/>
  <c r="BJ19" i="8" s="1"/>
  <c r="BC19" i="8" s="1"/>
  <c r="V17" i="8"/>
  <c r="W16" i="8"/>
  <c r="L15" i="8"/>
  <c r="AM42" i="7"/>
  <c r="AO42" i="7" s="1"/>
  <c r="AM39" i="7"/>
  <c r="AO39" i="7" s="1"/>
  <c r="AM36" i="7"/>
  <c r="AM33" i="7"/>
  <c r="AO33" i="7" s="1"/>
  <c r="AM30" i="7"/>
  <c r="AO30" i="7" s="1"/>
  <c r="AM27" i="7"/>
  <c r="AO27" i="7" s="1"/>
  <c r="AM24" i="7"/>
  <c r="AO24" i="7" s="1"/>
  <c r="AM21" i="7"/>
  <c r="AO21" i="7" s="1"/>
  <c r="AM18" i="7"/>
  <c r="AO18" i="7" s="1"/>
  <c r="AM15" i="7"/>
  <c r="AO15" i="7" s="1"/>
  <c r="AM12" i="7"/>
  <c r="AO12" i="7" s="1"/>
  <c r="Z32" i="8"/>
  <c r="Q31" i="8"/>
  <c r="AI31" i="8" s="1"/>
  <c r="BF28" i="8"/>
  <c r="U27" i="8"/>
  <c r="BF18" i="8"/>
  <c r="BH18" i="8" s="1"/>
  <c r="BJ18" i="8" s="1"/>
  <c r="BC18" i="8" s="1"/>
  <c r="U17" i="8"/>
  <c r="Z12" i="8"/>
  <c r="T27" i="8"/>
  <c r="BH25" i="8"/>
  <c r="BI24" i="8"/>
  <c r="T17" i="8"/>
  <c r="S27" i="8"/>
  <c r="AG27" i="8" s="1"/>
  <c r="AH27" i="8" s="1"/>
  <c r="AJ27" i="8" s="1"/>
  <c r="S17" i="8"/>
  <c r="AI17" i="8" s="1"/>
  <c r="AK17" i="8" s="1"/>
  <c r="X12" i="8"/>
  <c r="W32" i="8"/>
  <c r="Z31" i="8"/>
  <c r="BF25" i="8"/>
  <c r="BH23" i="8"/>
  <c r="BF15" i="8"/>
  <c r="BH15" i="8" s="1"/>
  <c r="W12" i="8"/>
  <c r="AI12" i="8" s="1"/>
  <c r="AK12" i="8" s="1"/>
  <c r="AM14" i="7"/>
  <c r="AM11" i="7"/>
  <c r="AM8" i="7"/>
  <c r="B103" i="12" l="1"/>
  <c r="B76" i="12"/>
  <c r="C88" i="12"/>
  <c r="B88" i="12"/>
  <c r="C61" i="12"/>
  <c r="B61" i="12"/>
  <c r="B49" i="12"/>
  <c r="C34" i="12"/>
  <c r="B34" i="12"/>
  <c r="C7" i="12"/>
  <c r="B7" i="12"/>
  <c r="B22" i="12"/>
  <c r="AG45" i="12"/>
  <c r="AF45" i="12"/>
  <c r="AE45" i="12"/>
  <c r="AG47" i="12"/>
  <c r="AF47" i="12"/>
  <c r="AE47" i="12"/>
  <c r="AG46" i="12"/>
  <c r="AF46" i="12"/>
  <c r="AE46" i="12"/>
  <c r="BJ15" i="8"/>
  <c r="BC15" i="8" s="1"/>
  <c r="AN31" i="8"/>
  <c r="AK31" i="8" s="1"/>
  <c r="AL13" i="7"/>
  <c r="AN13" i="7" s="1"/>
  <c r="AO13" i="7" s="1"/>
  <c r="J13" i="7"/>
  <c r="AO36" i="7"/>
  <c r="AI11" i="8"/>
  <c r="AK11" i="8" s="1"/>
  <c r="AI32" i="8"/>
  <c r="AK32" i="8" s="1"/>
  <c r="AO35" i="7"/>
  <c r="AG9" i="8"/>
  <c r="AH9" i="8" s="1"/>
  <c r="AJ9" i="8" s="1"/>
  <c r="AI9" i="8"/>
  <c r="AK9" i="8" s="1"/>
  <c r="AO52" i="7"/>
  <c r="AG10" i="8"/>
  <c r="AH10" i="8" s="1"/>
  <c r="AJ10" i="8" s="1"/>
  <c r="T14" i="8"/>
  <c r="U14" i="8"/>
  <c r="V14" i="8"/>
  <c r="W14" i="8"/>
  <c r="X14" i="8"/>
  <c r="N14" i="8"/>
  <c r="Z14" i="8"/>
  <c r="Q14" i="8"/>
  <c r="AC14" i="8"/>
  <c r="S14" i="8"/>
  <c r="AL53" i="7"/>
  <c r="AN53" i="7" s="1"/>
  <c r="AO53" i="7" s="1"/>
  <c r="AI8" i="8"/>
  <c r="AK8" i="8" s="1"/>
  <c r="AG31" i="8"/>
  <c r="AH31" i="8" s="1"/>
  <c r="AO8" i="7"/>
  <c r="AL16" i="7"/>
  <c r="AN16" i="7" s="1"/>
  <c r="AO16" i="7" s="1"/>
  <c r="J16" i="7"/>
  <c r="J19" i="7"/>
  <c r="AL19" i="7"/>
  <c r="AN19" i="7" s="1"/>
  <c r="AO19" i="7" s="1"/>
  <c r="BJ24" i="8"/>
  <c r="BC24" i="8" s="1"/>
  <c r="AI23" i="8"/>
  <c r="AG21" i="8"/>
  <c r="AH21" i="8" s="1"/>
  <c r="AJ21" i="8" s="1"/>
  <c r="AI21" i="8"/>
  <c r="AK21" i="8" s="1"/>
  <c r="AO11" i="7"/>
  <c r="AO17" i="7"/>
  <c r="AO20" i="7"/>
  <c r="AO14" i="7"/>
  <c r="T24" i="8"/>
  <c r="U24" i="8"/>
  <c r="V24" i="8"/>
  <c r="W24" i="8"/>
  <c r="X24" i="8"/>
  <c r="N24" i="8"/>
  <c r="Z24" i="8"/>
  <c r="Q24" i="8"/>
  <c r="AC24" i="8"/>
  <c r="S24" i="8"/>
  <c r="S16" i="8"/>
  <c r="T16" i="8"/>
  <c r="U16" i="8"/>
  <c r="X16" i="8"/>
  <c r="Q16" i="8"/>
  <c r="N16" i="8"/>
  <c r="Z16" i="8"/>
  <c r="AG30" i="8"/>
  <c r="AH30" i="8" s="1"/>
  <c r="AJ30" i="8" s="1"/>
  <c r="AI30" i="8"/>
  <c r="AK30" i="8" s="1"/>
  <c r="AG20" i="8"/>
  <c r="AH20" i="8" s="1"/>
  <c r="AJ20" i="8" s="1"/>
  <c r="AI20" i="8"/>
  <c r="AK20" i="8" s="1"/>
  <c r="AM23" i="8"/>
  <c r="AI19" i="8"/>
  <c r="AK19" i="8" s="1"/>
  <c r="AI13" i="8"/>
  <c r="AK13" i="8" s="1"/>
  <c r="AO32" i="7"/>
  <c r="AG29" i="8"/>
  <c r="AH29" i="8" s="1"/>
  <c r="AJ29" i="8" s="1"/>
  <c r="AL47" i="7"/>
  <c r="AN47" i="7"/>
  <c r="AO47" i="7" s="1"/>
  <c r="BJ25" i="8"/>
  <c r="BC25" i="8" s="1"/>
  <c r="AN22" i="7"/>
  <c r="AO22" i="7" s="1"/>
  <c r="AL22" i="7"/>
  <c r="AL29" i="7"/>
  <c r="AN29" i="7" s="1"/>
  <c r="AO29" i="7" s="1"/>
  <c r="AO23" i="7"/>
  <c r="AO49" i="7"/>
  <c r="BC26" i="8"/>
  <c r="BJ13" i="8"/>
  <c r="BC13" i="8" s="1"/>
  <c r="AL38" i="7"/>
  <c r="AN38" i="7"/>
  <c r="AO38" i="7" s="1"/>
  <c r="AC16" i="8"/>
  <c r="J47" i="7"/>
  <c r="S26" i="8"/>
  <c r="T26" i="8"/>
  <c r="U26" i="8"/>
  <c r="Q26" i="8"/>
  <c r="Z26" i="8"/>
  <c r="N26" i="8"/>
  <c r="AL50" i="7"/>
  <c r="AN50" i="7" s="1"/>
  <c r="AO50" i="7" s="1"/>
  <c r="S18" i="4"/>
  <c r="S17" i="4"/>
  <c r="S16" i="4"/>
  <c r="S4" i="4"/>
  <c r="S5" i="4"/>
  <c r="S6" i="4"/>
  <c r="S7" i="4"/>
  <c r="S8" i="4"/>
  <c r="S9" i="4"/>
  <c r="S10" i="4"/>
  <c r="S11" i="4"/>
  <c r="S12" i="4"/>
  <c r="S13" i="4"/>
  <c r="S14" i="4"/>
  <c r="S15" i="4"/>
  <c r="S19" i="4"/>
  <c r="S20" i="4"/>
  <c r="S21" i="4"/>
  <c r="S22" i="4"/>
  <c r="S3" i="4"/>
  <c r="C5" i="4"/>
  <c r="B104" i="12" l="1"/>
  <c r="B77" i="12"/>
  <c r="C95" i="12"/>
  <c r="C68" i="12"/>
  <c r="C93" i="12"/>
  <c r="C94" i="12"/>
  <c r="C67" i="12"/>
  <c r="C66" i="12"/>
  <c r="B95" i="12"/>
  <c r="B68" i="12"/>
  <c r="B94" i="12"/>
  <c r="B67" i="12"/>
  <c r="B66" i="12"/>
  <c r="B93" i="12"/>
  <c r="B41" i="12"/>
  <c r="B39" i="12"/>
  <c r="B40" i="12"/>
  <c r="C41" i="12"/>
  <c r="C40" i="12"/>
  <c r="C39" i="12"/>
  <c r="B50" i="12"/>
  <c r="B23" i="12"/>
  <c r="B14" i="12"/>
  <c r="B13" i="12"/>
  <c r="B12" i="12"/>
  <c r="C14" i="12"/>
  <c r="AG7" i="12" s="1"/>
  <c r="C13" i="12"/>
  <c r="C12" i="12"/>
  <c r="AD47" i="12"/>
  <c r="AD46" i="12"/>
  <c r="C11" i="4"/>
  <c r="AG14" i="8"/>
  <c r="AH14" i="8" s="1"/>
  <c r="AJ14" i="8" s="1"/>
  <c r="AI14" i="8"/>
  <c r="AK14" i="8" s="1"/>
  <c r="AG16" i="8"/>
  <c r="AH16" i="8" s="1"/>
  <c r="AJ16" i="8" s="1"/>
  <c r="AI16" i="8"/>
  <c r="AK16" i="8" s="1"/>
  <c r="AK23" i="8"/>
  <c r="AN23" i="8"/>
  <c r="AM31" i="8"/>
  <c r="AV31" i="8" s="1"/>
  <c r="AJ31" i="8"/>
  <c r="AI24" i="8"/>
  <c r="AK24" i="8" s="1"/>
  <c r="AG24" i="8"/>
  <c r="AH24" i="8" s="1"/>
  <c r="AJ24" i="8" s="1"/>
  <c r="AG26" i="8"/>
  <c r="AH26" i="8" s="1"/>
  <c r="AJ26" i="8" s="1"/>
  <c r="AI26" i="8"/>
  <c r="AK26" i="8" s="1"/>
  <c r="AV23" i="8"/>
  <c r="AJ23" i="8"/>
  <c r="B12" i="4"/>
  <c r="C49" i="4" s="1"/>
  <c r="C50" i="4" s="1"/>
  <c r="AE40" i="4" s="1"/>
  <c r="B92" i="12" l="1"/>
  <c r="B65" i="12"/>
  <c r="AG5" i="12"/>
  <c r="AG4" i="12"/>
  <c r="B38" i="12"/>
  <c r="B11" i="12"/>
  <c r="AE5" i="12"/>
  <c r="AF7" i="12"/>
  <c r="AD7" i="12" s="1"/>
  <c r="AE4" i="12"/>
  <c r="AF4" i="12"/>
  <c r="AE7" i="12"/>
  <c r="AF5" i="12"/>
  <c r="AG42" i="4"/>
  <c r="AF42" i="4"/>
  <c r="AE42" i="4"/>
  <c r="AG41" i="4"/>
  <c r="AF41" i="4"/>
  <c r="AE41" i="4"/>
  <c r="AG40" i="4"/>
  <c r="AF40" i="4"/>
  <c r="D60" i="4"/>
  <c r="C62" i="4" s="1"/>
  <c r="B60" i="4"/>
  <c r="E21" i="4"/>
  <c r="C20" i="4"/>
  <c r="C21" i="4" s="1"/>
  <c r="C13" i="4"/>
  <c r="C14" i="4" s="1"/>
  <c r="E14" i="4"/>
  <c r="B105" i="12" l="1"/>
  <c r="B78" i="12"/>
  <c r="O5" i="1"/>
  <c r="B51" i="12"/>
  <c r="O7" i="1"/>
  <c r="AD5" i="12"/>
  <c r="B24" i="12"/>
  <c r="AD42" i="4"/>
  <c r="AD41" i="4"/>
  <c r="C65" i="4"/>
  <c r="C71" i="4" s="1"/>
  <c r="AG6" i="4"/>
  <c r="AG4" i="4"/>
  <c r="AG5" i="4"/>
  <c r="AE6" i="4"/>
  <c r="AF5" i="4"/>
  <c r="AF6" i="4"/>
  <c r="AE4" i="4"/>
  <c r="AE5" i="4"/>
  <c r="AF4" i="4"/>
  <c r="D24" i="4"/>
  <c r="B24" i="4"/>
  <c r="O4" i="1" l="1"/>
  <c r="C72" i="4"/>
  <c r="B107" i="12"/>
  <c r="B80" i="12"/>
  <c r="P5" i="1" s="1"/>
  <c r="B53" i="12"/>
  <c r="P7" i="1" s="1"/>
  <c r="B26" i="12"/>
  <c r="AD6" i="4"/>
  <c r="AD5" i="4"/>
  <c r="C26" i="4" s="1"/>
  <c r="P4" i="1" l="1"/>
  <c r="C29" i="4"/>
  <c r="C35" i="4" s="1"/>
  <c r="C16" i="1" l="1"/>
  <c r="C36" i="4"/>
  <c r="C20" i="1" l="1"/>
  <c r="E20" i="1" s="1"/>
  <c r="C17" i="1"/>
  <c r="D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 Officer</author>
  </authors>
  <commentList>
    <comment ref="AM23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Richard Officer:</t>
        </r>
        <r>
          <rPr>
            <sz val="8"/>
            <color indexed="81"/>
            <rFont val="Tahoma"/>
            <family val="2"/>
          </rPr>
          <t xml:space="preserve">
calculated value</t>
        </r>
      </text>
    </comment>
    <comment ref="AN23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Richard Officer:</t>
        </r>
        <r>
          <rPr>
            <sz val="8"/>
            <color indexed="81"/>
            <rFont val="Tahoma"/>
            <family val="2"/>
          </rPr>
          <t xml:space="preserve">
calculated value</t>
        </r>
      </text>
    </comment>
    <comment ref="AM31" authorId="0" shapeId="0" xr:uid="{00000000-0006-0000-0400-000003000000}">
      <text>
        <r>
          <rPr>
            <b/>
            <sz val="8"/>
            <color indexed="81"/>
            <rFont val="Tahoma"/>
            <family val="2"/>
          </rPr>
          <t>Richard Officer:</t>
        </r>
        <r>
          <rPr>
            <sz val="8"/>
            <color indexed="81"/>
            <rFont val="Tahoma"/>
            <family val="2"/>
          </rPr>
          <t xml:space="preserve">
calculated value</t>
        </r>
      </text>
    </comment>
    <comment ref="AN31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>Richard Officer:</t>
        </r>
        <r>
          <rPr>
            <sz val="8"/>
            <color indexed="81"/>
            <rFont val="Tahoma"/>
            <family val="2"/>
          </rPr>
          <t xml:space="preserve">
calculated value</t>
        </r>
      </text>
    </comment>
  </commentList>
</comments>
</file>

<file path=xl/sharedStrings.xml><?xml version="1.0" encoding="utf-8"?>
<sst xmlns="http://schemas.openxmlformats.org/spreadsheetml/2006/main" count="2576" uniqueCount="886">
  <si>
    <t>V*</t>
  </si>
  <si>
    <t>N*</t>
  </si>
  <si>
    <t>T*</t>
  </si>
  <si>
    <t>L</t>
  </si>
  <si>
    <t>Member</t>
  </si>
  <si>
    <t>Type</t>
  </si>
  <si>
    <t>PFC</t>
  </si>
  <si>
    <t>Designation</t>
  </si>
  <si>
    <t>kg/m</t>
  </si>
  <si>
    <t>d</t>
  </si>
  <si>
    <t>bf</t>
  </si>
  <si>
    <t>Flange</t>
  </si>
  <si>
    <t>tf</t>
  </si>
  <si>
    <t>tw</t>
  </si>
  <si>
    <t>r1</t>
  </si>
  <si>
    <t>d1</t>
  </si>
  <si>
    <t>About x-axis</t>
  </si>
  <si>
    <t>J</t>
  </si>
  <si>
    <t>Iw</t>
  </si>
  <si>
    <t>About y-axis</t>
  </si>
  <si>
    <t>Check 1: Moment Capacity</t>
  </si>
  <si>
    <t>Table 3.4 AS4100</t>
  </si>
  <si>
    <t xml:space="preserve">Member Subject to Bending </t>
  </si>
  <si>
    <t>Full Lateral Support</t>
  </si>
  <si>
    <t>Segment without full laterla support</t>
  </si>
  <si>
    <t>web in shear</t>
  </si>
  <si>
    <t xml:space="preserve">web in bearing </t>
  </si>
  <si>
    <t>stiffener</t>
  </si>
  <si>
    <t>Member subject to axial compression</t>
  </si>
  <si>
    <t>section capacity</t>
  </si>
  <si>
    <t>member capacity</t>
  </si>
  <si>
    <t>Member subject to axial tension</t>
  </si>
  <si>
    <t>Member subject to combined actions</t>
  </si>
  <si>
    <t>Connection component other than a bolt, pin, or weld</t>
  </si>
  <si>
    <t>Bolted connection</t>
  </si>
  <si>
    <t>bolt in shear</t>
  </si>
  <si>
    <t>bolt in tension</t>
  </si>
  <si>
    <t>bolt subject to combined shear and tension</t>
  </si>
  <si>
    <t>ply in bearing</t>
  </si>
  <si>
    <t>bolt group</t>
  </si>
  <si>
    <t>Pin connection</t>
  </si>
  <si>
    <t>pin in shear</t>
  </si>
  <si>
    <t>pin in bearing</t>
  </si>
  <si>
    <t>pin in bending</t>
  </si>
  <si>
    <t>Welded connection</t>
  </si>
  <si>
    <t>complete penetration butt weld</t>
  </si>
  <si>
    <t>longitudinal fillet weld in RHS (t &lt; 3mm)</t>
  </si>
  <si>
    <t>other filet weld and incomplete penetration butt weld</t>
  </si>
  <si>
    <t>plug or slot weld</t>
  </si>
  <si>
    <t>weld group</t>
  </si>
  <si>
    <t>SP</t>
  </si>
  <si>
    <t>GP</t>
  </si>
  <si>
    <t>Design capacity for:</t>
  </si>
  <si>
    <t>Clauses</t>
  </si>
  <si>
    <t>Capacity factor</t>
  </si>
  <si>
    <t>5.1, 5.2, and 5.3</t>
  </si>
  <si>
    <t>5.1, and 5.6</t>
  </si>
  <si>
    <t>5.11, and 5.12</t>
  </si>
  <si>
    <t>5.14, 5.15 and 5.16</t>
  </si>
  <si>
    <t>6.1 and 6.2</t>
  </si>
  <si>
    <t>6.1 and 6.3</t>
  </si>
  <si>
    <t>7.1 and 7.2</t>
  </si>
  <si>
    <t>9.1.9(a), (b), (c), and (d)</t>
  </si>
  <si>
    <t>9.1.9€</t>
  </si>
  <si>
    <t>9.2.2.1</t>
  </si>
  <si>
    <t>9.2.2.2</t>
  </si>
  <si>
    <t>9.2.2.3</t>
  </si>
  <si>
    <t>9.2.2.4</t>
  </si>
  <si>
    <t>9.4.1</t>
  </si>
  <si>
    <t>9.4.2</t>
  </si>
  <si>
    <t>9.4.3</t>
  </si>
  <si>
    <t>9.4.4</t>
  </si>
  <si>
    <t>9.6.2.7</t>
  </si>
  <si>
    <t>9.6.3.10</t>
  </si>
  <si>
    <t>9.6.4</t>
  </si>
  <si>
    <t>M*x</t>
  </si>
  <si>
    <t>Plate Element Type</t>
  </si>
  <si>
    <t>Longitudinal edges supported</t>
  </si>
  <si>
    <t>Residual stresses</t>
  </si>
  <si>
    <t>Plasiticity Limit</t>
  </si>
  <si>
    <t>Yield Limit</t>
  </si>
  <si>
    <t>Deformation limit</t>
  </si>
  <si>
    <t>Flat</t>
  </si>
  <si>
    <t>One</t>
  </si>
  <si>
    <t>SR</t>
  </si>
  <si>
    <t>HR</t>
  </si>
  <si>
    <t>LW,CF</t>
  </si>
  <si>
    <t>HW</t>
  </si>
  <si>
    <t>Uniform Compression</t>
  </si>
  <si>
    <t>Both</t>
  </si>
  <si>
    <t>HR,CF</t>
  </si>
  <si>
    <t>LW</t>
  </si>
  <si>
    <t>Circular hollow sections</t>
  </si>
  <si>
    <t>Element slenderness:</t>
  </si>
  <si>
    <t>Data</t>
  </si>
  <si>
    <t>Check Web Slenderness:</t>
  </si>
  <si>
    <t>λe</t>
  </si>
  <si>
    <t>λey</t>
  </si>
  <si>
    <t>Helper Column</t>
  </si>
  <si>
    <t>Compression at one edge, tension at the other</t>
  </si>
  <si>
    <t>Manufacturing Method</t>
  </si>
  <si>
    <t>λe/λey</t>
  </si>
  <si>
    <t>Check Flange Slenderness:</t>
  </si>
  <si>
    <t>Critical Element:</t>
  </si>
  <si>
    <t>Section is:</t>
  </si>
  <si>
    <t>Therefore, section is:</t>
  </si>
  <si>
    <t>Web</t>
  </si>
  <si>
    <t>Ze</t>
  </si>
  <si>
    <t>Compact</t>
  </si>
  <si>
    <t>non-compact</t>
  </si>
  <si>
    <t>slender</t>
  </si>
  <si>
    <t>λsp</t>
  </si>
  <si>
    <t>λsy</t>
  </si>
  <si>
    <t>λs</t>
  </si>
  <si>
    <t>Nominal section moment capacity</t>
  </si>
  <si>
    <t>kNm</t>
  </si>
  <si>
    <t>phi Ms</t>
  </si>
  <si>
    <t>Maximum compression at unsupported edge, zero stress or tension at supported edge</t>
  </si>
  <si>
    <t xml:space="preserve">   d        b       t</t>
  </si>
  <si>
    <t xml:space="preserve"> </t>
  </si>
  <si>
    <r>
      <t>A</t>
    </r>
    <r>
      <rPr>
        <vertAlign val="subscript"/>
        <sz val="8"/>
        <rFont val="Arial"/>
        <family val="2"/>
      </rPr>
      <t>g</t>
    </r>
  </si>
  <si>
    <r>
      <t>I</t>
    </r>
    <r>
      <rPr>
        <vertAlign val="subscript"/>
        <sz val="8"/>
        <rFont val="Arial"/>
        <family val="2"/>
      </rPr>
      <t>x</t>
    </r>
  </si>
  <si>
    <r>
      <t>Z</t>
    </r>
    <r>
      <rPr>
        <vertAlign val="subscript"/>
        <sz val="8"/>
        <rFont val="Arial"/>
        <family val="2"/>
      </rPr>
      <t>x</t>
    </r>
  </si>
  <si>
    <r>
      <t>S</t>
    </r>
    <r>
      <rPr>
        <vertAlign val="subscript"/>
        <sz val="8"/>
        <rFont val="Arial"/>
        <family val="2"/>
      </rPr>
      <t>x</t>
    </r>
  </si>
  <si>
    <r>
      <t>r</t>
    </r>
    <r>
      <rPr>
        <vertAlign val="subscript"/>
        <sz val="8"/>
        <rFont val="Arial"/>
        <family val="2"/>
      </rPr>
      <t>x</t>
    </r>
  </si>
  <si>
    <r>
      <t>I</t>
    </r>
    <r>
      <rPr>
        <vertAlign val="subscript"/>
        <sz val="8"/>
        <rFont val="Arial"/>
        <family val="2"/>
      </rPr>
      <t>y</t>
    </r>
  </si>
  <si>
    <r>
      <t>Z</t>
    </r>
    <r>
      <rPr>
        <vertAlign val="subscript"/>
        <sz val="8"/>
        <rFont val="Arial"/>
        <family val="2"/>
      </rPr>
      <t>yr</t>
    </r>
  </si>
  <si>
    <r>
      <t>Z</t>
    </r>
    <r>
      <rPr>
        <vertAlign val="subscript"/>
        <sz val="8"/>
        <rFont val="Arial"/>
        <family val="2"/>
      </rPr>
      <t>y</t>
    </r>
  </si>
  <si>
    <r>
      <t>S</t>
    </r>
    <r>
      <rPr>
        <vertAlign val="subscript"/>
        <sz val="8"/>
        <rFont val="Arial"/>
        <family val="2"/>
      </rPr>
      <t>y</t>
    </r>
  </si>
  <si>
    <r>
      <t>r</t>
    </r>
    <r>
      <rPr>
        <vertAlign val="subscript"/>
        <sz val="8"/>
        <rFont val="Arial"/>
        <family val="2"/>
      </rPr>
      <t>y</t>
    </r>
  </si>
  <si>
    <t>kf</t>
  </si>
  <si>
    <t>nw</t>
  </si>
  <si>
    <t xml:space="preserve">  mm    mm    mm</t>
  </si>
  <si>
    <t>mm</t>
  </si>
  <si>
    <r>
      <t>mm</t>
    </r>
    <r>
      <rPr>
        <vertAlign val="superscript"/>
        <sz val="8"/>
        <rFont val="Arial"/>
        <family val="2"/>
      </rPr>
      <t>2</t>
    </r>
  </si>
  <si>
    <r>
      <t>mm</t>
    </r>
    <r>
      <rPr>
        <vertAlign val="superscript"/>
        <sz val="8"/>
        <rFont val="Arial"/>
        <family val="2"/>
      </rPr>
      <t>4</t>
    </r>
  </si>
  <si>
    <r>
      <t>mm</t>
    </r>
    <r>
      <rPr>
        <vertAlign val="superscript"/>
        <sz val="8"/>
        <rFont val="Arial"/>
        <family val="2"/>
      </rPr>
      <t>3</t>
    </r>
  </si>
  <si>
    <r>
      <t>mm</t>
    </r>
    <r>
      <rPr>
        <vertAlign val="superscript"/>
        <sz val="8"/>
        <rFont val="Arial"/>
        <family val="2"/>
      </rPr>
      <t>6</t>
    </r>
  </si>
  <si>
    <t>380PFC</t>
  </si>
  <si>
    <t>180UB22.2</t>
  </si>
  <si>
    <t>100 x 10 Pl</t>
  </si>
  <si>
    <t>150UB14.0</t>
  </si>
  <si>
    <t>150UB18.0</t>
  </si>
  <si>
    <t>180UB16.1</t>
  </si>
  <si>
    <t>180UB18.1</t>
  </si>
  <si>
    <t>200UB18.2</t>
  </si>
  <si>
    <t>200UB22.3</t>
  </si>
  <si>
    <t>200UB25.4</t>
  </si>
  <si>
    <t>200UB29.8</t>
  </si>
  <si>
    <t>250UB25.7</t>
  </si>
  <si>
    <t>250UB31.4</t>
  </si>
  <si>
    <t>250UB37.3</t>
  </si>
  <si>
    <t>310UB32.0</t>
  </si>
  <si>
    <t>310UB40.4</t>
  </si>
  <si>
    <t>310UB46.2</t>
  </si>
  <si>
    <t>360UB44.7</t>
  </si>
  <si>
    <t>360UB50.7</t>
  </si>
  <si>
    <t>360UB56.7</t>
  </si>
  <si>
    <t>410UB53.7</t>
  </si>
  <si>
    <t>410UB59.7</t>
  </si>
  <si>
    <t>460UB67.1</t>
  </si>
  <si>
    <t>460UB74.6</t>
  </si>
  <si>
    <t>460UB82.1</t>
  </si>
  <si>
    <t>530UB82</t>
  </si>
  <si>
    <t>530UB92.4</t>
  </si>
  <si>
    <t>610UB101</t>
  </si>
  <si>
    <t>610UB113</t>
  </si>
  <si>
    <t>610UB125</t>
  </si>
  <si>
    <t>mm2</t>
  </si>
  <si>
    <t>from DCT</t>
  </si>
  <si>
    <t>Mpa</t>
  </si>
  <si>
    <t>mm6</t>
  </si>
  <si>
    <t>mm4</t>
  </si>
  <si>
    <t>Root Radius Area</t>
  </si>
  <si>
    <t>Ae</t>
  </si>
  <si>
    <t>be (flange)</t>
  </si>
  <si>
    <t>be (web)</t>
  </si>
  <si>
    <t>λe (flange)</t>
  </si>
  <si>
    <t>λe (web)</t>
  </si>
  <si>
    <t>λey (flange)</t>
  </si>
  <si>
    <t>λey (web)</t>
  </si>
  <si>
    <t>kf override</t>
  </si>
  <si>
    <t>fy (flange)</t>
  </si>
  <si>
    <t>fy (web)</t>
  </si>
  <si>
    <t>(bf-tw)/2</t>
  </si>
  <si>
    <t>(PhiMsy)</t>
  </si>
  <si>
    <t>(PhiMsx)</t>
  </si>
  <si>
    <t>Calc. Ag</t>
  </si>
  <si>
    <t>As</t>
  </si>
  <si>
    <t>Calculated Values</t>
  </si>
  <si>
    <t>Area</t>
  </si>
  <si>
    <t>Constant</t>
  </si>
  <si>
    <t>Section</t>
  </si>
  <si>
    <t>Warping</t>
  </si>
  <si>
    <t>Torsion</t>
  </si>
  <si>
    <t>Gross</t>
  </si>
  <si>
    <t>100UC14.8</t>
  </si>
  <si>
    <t>150UC23.4</t>
  </si>
  <si>
    <t>150UC30.0</t>
  </si>
  <si>
    <t>150UC37.2</t>
  </si>
  <si>
    <t>200UC46.2</t>
  </si>
  <si>
    <t>200UC52.2</t>
  </si>
  <si>
    <t>200UC59.5</t>
  </si>
  <si>
    <t>250UC72.9</t>
  </si>
  <si>
    <t>250UC89.5</t>
  </si>
  <si>
    <t>310UC96.8</t>
  </si>
  <si>
    <t>310UC118</t>
  </si>
  <si>
    <t>310UC137</t>
  </si>
  <si>
    <t>310UC158</t>
  </si>
  <si>
    <t>25*3 EA</t>
  </si>
  <si>
    <t>25*5 EA</t>
  </si>
  <si>
    <t>25*6 EA</t>
  </si>
  <si>
    <t>30*3 EA</t>
  </si>
  <si>
    <t>30*5 EA</t>
  </si>
  <si>
    <t>30*6 EA</t>
  </si>
  <si>
    <t>40*3 EA</t>
  </si>
  <si>
    <t>40*5 EA</t>
  </si>
  <si>
    <t>40*6 EA</t>
  </si>
  <si>
    <t>45*3 EA</t>
  </si>
  <si>
    <t>45*5 EA</t>
  </si>
  <si>
    <t>45*6 EA</t>
  </si>
  <si>
    <t>50*3 EA</t>
  </si>
  <si>
    <t>50*5 EA</t>
  </si>
  <si>
    <t>50*6 EA</t>
  </si>
  <si>
    <t>50*8 EA</t>
  </si>
  <si>
    <t>55*5 EA</t>
  </si>
  <si>
    <t>55*6 EA</t>
  </si>
  <si>
    <t>65*5 EA</t>
  </si>
  <si>
    <t>65*6 EA</t>
  </si>
  <si>
    <t>65*8 EA</t>
  </si>
  <si>
    <t>65*10 EA</t>
  </si>
  <si>
    <t>75*5 EA</t>
  </si>
  <si>
    <t>75*6 EA</t>
  </si>
  <si>
    <t>75*8 EA</t>
  </si>
  <si>
    <t>75*10 EA</t>
  </si>
  <si>
    <t>90*6 EA</t>
  </si>
  <si>
    <t>90*8 EA</t>
  </si>
  <si>
    <t>90*10 EA</t>
  </si>
  <si>
    <t>100*6 EA</t>
  </si>
  <si>
    <t>100*8 EA</t>
  </si>
  <si>
    <t>100*10 EA</t>
  </si>
  <si>
    <t>100*12 EA</t>
  </si>
  <si>
    <t>125*8 EA</t>
  </si>
  <si>
    <t>125*10 EA</t>
  </si>
  <si>
    <t>125*12 EA</t>
  </si>
  <si>
    <t>125*16 EA</t>
  </si>
  <si>
    <t>150*10 EA</t>
  </si>
  <si>
    <t>150*12 EA</t>
  </si>
  <si>
    <t>150*16 EA</t>
  </si>
  <si>
    <t>150*19 EA</t>
  </si>
  <si>
    <t>200*13 EA</t>
  </si>
  <si>
    <t>200*16 EA</t>
  </si>
  <si>
    <t>200*18 EA</t>
  </si>
  <si>
    <t>200*20 EA</t>
  </si>
  <si>
    <t>200*26 EA</t>
  </si>
  <si>
    <t>(minimum)</t>
  </si>
  <si>
    <t>(bf-tw)</t>
  </si>
  <si>
    <r>
      <t>Z</t>
    </r>
    <r>
      <rPr>
        <vertAlign val="subscript"/>
        <sz val="8"/>
        <rFont val="Arial"/>
        <family val="2"/>
      </rPr>
      <t>y5</t>
    </r>
  </si>
  <si>
    <r>
      <t>Z</t>
    </r>
    <r>
      <rPr>
        <vertAlign val="subscript"/>
        <sz val="8"/>
        <rFont val="Arial"/>
        <family val="2"/>
      </rPr>
      <t>y3</t>
    </r>
  </si>
  <si>
    <t>x5</t>
  </si>
  <si>
    <t>x3</t>
  </si>
  <si>
    <t>y1=y4</t>
  </si>
  <si>
    <t>Calcd Ag</t>
  </si>
  <si>
    <t>r2</t>
  </si>
  <si>
    <t>calculated kf currently differes to DCT value</t>
  </si>
  <si>
    <t>700WB115</t>
  </si>
  <si>
    <t>700WB130 (Strengthened)</t>
  </si>
  <si>
    <t>700WB130</t>
  </si>
  <si>
    <t>700WB150</t>
  </si>
  <si>
    <t>700WB173</t>
  </si>
  <si>
    <t>800WB122</t>
  </si>
  <si>
    <t>800WB146</t>
  </si>
  <si>
    <t>800WB168</t>
  </si>
  <si>
    <t>800WB192</t>
  </si>
  <si>
    <t>900WB175 (strengthened)</t>
  </si>
  <si>
    <t>900WB175</t>
  </si>
  <si>
    <t>900WB218</t>
  </si>
  <si>
    <t>900WB257</t>
  </si>
  <si>
    <t>900WB282</t>
  </si>
  <si>
    <t>1000WB215</t>
  </si>
  <si>
    <t>1000WB258</t>
  </si>
  <si>
    <t>1000WB296</t>
  </si>
  <si>
    <t>1000WB322</t>
  </si>
  <si>
    <t>1200WB249</t>
  </si>
  <si>
    <t>1200WB278</t>
  </si>
  <si>
    <t>1200WB317</t>
  </si>
  <si>
    <t>1200WB342</t>
  </si>
  <si>
    <t>1200WB392</t>
  </si>
  <si>
    <t>1200WB423</t>
  </si>
  <si>
    <t>1200WB455</t>
  </si>
  <si>
    <t>Kf from DCT (300 grade)</t>
  </si>
  <si>
    <t>bf-tw/2</t>
  </si>
  <si>
    <t>Sx (dct)</t>
  </si>
  <si>
    <t>Zx (dct)</t>
  </si>
  <si>
    <t>Sx (calc)</t>
  </si>
  <si>
    <t>Zx (Calc)</t>
  </si>
  <si>
    <t>Ixx (calc)</t>
  </si>
  <si>
    <t>N.A</t>
  </si>
  <si>
    <t>Total D</t>
  </si>
  <si>
    <t>Ix6</t>
  </si>
  <si>
    <t>Ybar6</t>
  </si>
  <si>
    <t>A6</t>
  </si>
  <si>
    <t>Ix5</t>
  </si>
  <si>
    <t>Ybar5</t>
  </si>
  <si>
    <t>A5</t>
  </si>
  <si>
    <t>Ix4</t>
  </si>
  <si>
    <t>ybar4</t>
  </si>
  <si>
    <t>A4</t>
  </si>
  <si>
    <t>Ix3</t>
  </si>
  <si>
    <t>ybar3</t>
  </si>
  <si>
    <t>A3</t>
  </si>
  <si>
    <t>Ix2</t>
  </si>
  <si>
    <t>ybar2</t>
  </si>
  <si>
    <t>A2</t>
  </si>
  <si>
    <t>Ix1</t>
  </si>
  <si>
    <t>ybar1</t>
  </si>
  <si>
    <t>A1</t>
  </si>
  <si>
    <t>Calc Ag</t>
  </si>
  <si>
    <t>bplate(bot)</t>
  </si>
  <si>
    <t>tplate(bot)</t>
  </si>
  <si>
    <t>bplate(top)</t>
  </si>
  <si>
    <t>tplate(top)</t>
  </si>
  <si>
    <t>Sx (Calc)</t>
  </si>
  <si>
    <t>Zx (calc)</t>
  </si>
  <si>
    <t>Additional Plate</t>
  </si>
  <si>
    <t>About x-axis (CALCULATED)</t>
  </si>
  <si>
    <t>Bottom Flange</t>
  </si>
  <si>
    <t>Top Flange</t>
  </si>
  <si>
    <t>NOTE THIS IS FOR AS3679.2 Welded beams - 300 PLUS beams also available</t>
  </si>
  <si>
    <t>350WC197</t>
  </si>
  <si>
    <t>350WC230</t>
  </si>
  <si>
    <t>350WC258</t>
  </si>
  <si>
    <t>350WC280</t>
  </si>
  <si>
    <t>400WC144</t>
  </si>
  <si>
    <t>400WC181</t>
  </si>
  <si>
    <t>400WC212</t>
  </si>
  <si>
    <t>400WC270</t>
  </si>
  <si>
    <t>400WC303</t>
  </si>
  <si>
    <t>400WC328</t>
  </si>
  <si>
    <t>400WC361</t>
  </si>
  <si>
    <t>500WC228</t>
  </si>
  <si>
    <t>500WC267</t>
  </si>
  <si>
    <t>500WC290</t>
  </si>
  <si>
    <t>500WC340</t>
  </si>
  <si>
    <t>500WC383</t>
  </si>
  <si>
    <t>500WC414</t>
  </si>
  <si>
    <t>500WC440</t>
  </si>
  <si>
    <t>(PhiMs)</t>
  </si>
  <si>
    <t>NOTE THIS IS FOR AS3679.2 Welded COLUMNS - 300 PLUS beams also available</t>
  </si>
  <si>
    <t>75PFC</t>
  </si>
  <si>
    <t>100PFC</t>
  </si>
  <si>
    <t>125PFC</t>
  </si>
  <si>
    <t>150PFC</t>
  </si>
  <si>
    <t>180PFC</t>
  </si>
  <si>
    <t>200PFC</t>
  </si>
  <si>
    <t>230PFC</t>
  </si>
  <si>
    <t>250PFC</t>
  </si>
  <si>
    <t>300PFC</t>
  </si>
  <si>
    <t>m</t>
  </si>
  <si>
    <t>per</t>
  </si>
  <si>
    <t>Mass</t>
  </si>
  <si>
    <t>Section Properties</t>
  </si>
  <si>
    <t>a</t>
  </si>
  <si>
    <t>Universal_Beam</t>
  </si>
  <si>
    <t>Universal_Column</t>
  </si>
  <si>
    <t>Equal_Angle</t>
  </si>
  <si>
    <t>Welded_Beam</t>
  </si>
  <si>
    <t>Welded_Column</t>
  </si>
  <si>
    <t>Universal Beams</t>
  </si>
  <si>
    <t>fyf</t>
  </si>
  <si>
    <t>fyw</t>
  </si>
  <si>
    <t>Member capacity of segment:</t>
  </si>
  <si>
    <t>αm</t>
  </si>
  <si>
    <t>αs</t>
  </si>
  <si>
    <t>Moa</t>
  </si>
  <si>
    <t>Le</t>
  </si>
  <si>
    <t>phi Mbx</t>
  </si>
  <si>
    <t>Key:</t>
  </si>
  <si>
    <t>to be added</t>
  </si>
  <si>
    <t>Incomplete</t>
  </si>
  <si>
    <t xml:space="preserve">Capacity </t>
  </si>
  <si>
    <t>φMsx</t>
  </si>
  <si>
    <t>φMbx</t>
  </si>
  <si>
    <t>KNm</t>
  </si>
  <si>
    <t>UB</t>
  </si>
  <si>
    <t>Restraint conditions</t>
  </si>
  <si>
    <t>Things to be added:</t>
  </si>
  <si>
    <t>Effective length</t>
  </si>
  <si>
    <t>restraint conditions</t>
  </si>
  <si>
    <t>Non-compact sections</t>
  </si>
  <si>
    <t>Slender sections</t>
  </si>
  <si>
    <t>UC</t>
  </si>
  <si>
    <t>EA</t>
  </si>
  <si>
    <t>WB</t>
  </si>
  <si>
    <t>WC</t>
  </si>
  <si>
    <t>alpha m</t>
  </si>
  <si>
    <t>Shear capacity</t>
  </si>
  <si>
    <t>Axial Capacity</t>
  </si>
  <si>
    <t>Check</t>
  </si>
  <si>
    <t>dp</t>
  </si>
  <si>
    <t>Aw</t>
  </si>
  <si>
    <t>web panel to thickness ratio</t>
  </si>
  <si>
    <t>Vw</t>
  </si>
  <si>
    <t>Vb</t>
  </si>
  <si>
    <t>Universal Columns</t>
  </si>
  <si>
    <t>φVv</t>
  </si>
  <si>
    <t>Equal Angle</t>
  </si>
  <si>
    <t>Combined Bending and Shear</t>
  </si>
  <si>
    <t>φVvm</t>
  </si>
  <si>
    <t>Moment Modification Factor</t>
  </si>
  <si>
    <t>CHS</t>
  </si>
  <si>
    <t>C0</t>
  </si>
  <si>
    <t>C1</t>
  </si>
  <si>
    <t>CT</t>
  </si>
  <si>
    <t>CF</t>
  </si>
  <si>
    <t>Non-com</t>
  </si>
  <si>
    <t>Slender</t>
  </si>
  <si>
    <t>Max</t>
  </si>
  <si>
    <t>FF FL LL FU</t>
  </si>
  <si>
    <t>FP PL PU</t>
  </si>
  <si>
    <t>PP</t>
  </si>
  <si>
    <t>Kt</t>
  </si>
  <si>
    <t>Kl</t>
  </si>
  <si>
    <t>Longitudinal Position of Load</t>
  </si>
  <si>
    <t>Within segment</t>
  </si>
  <si>
    <t>Load Height Position</t>
  </si>
  <si>
    <t>Shear centre</t>
  </si>
  <si>
    <t>At segment</t>
  </si>
  <si>
    <t>FF FP FL PP PL LL</t>
  </si>
  <si>
    <t>FU PU</t>
  </si>
  <si>
    <t>Longitudinal position of the load</t>
  </si>
  <si>
    <t>Restraint arrangement</t>
  </si>
  <si>
    <t>Top flange</t>
  </si>
  <si>
    <t>Kr</t>
  </si>
  <si>
    <t>FF FP PP</t>
  </si>
  <si>
    <t>Ends with lateral rotation restraint</t>
  </si>
  <si>
    <t>Any</t>
  </si>
  <si>
    <t>None</t>
  </si>
  <si>
    <t>Plate element yield slenderness limit Cl. 5.2.2</t>
  </si>
  <si>
    <t>Plate element plasticity slenderness limit Cl. 5.2.2</t>
  </si>
  <si>
    <t>Welded Beam</t>
  </si>
  <si>
    <t>UCOneSR</t>
  </si>
  <si>
    <t>UCOneHR</t>
  </si>
  <si>
    <t>UCOneLW</t>
  </si>
  <si>
    <t>UCOneCF</t>
  </si>
  <si>
    <t>UCOneHW</t>
  </si>
  <si>
    <t>UCBothSR</t>
  </si>
  <si>
    <t>UCBothHR</t>
  </si>
  <si>
    <t>UCBothLW</t>
  </si>
  <si>
    <t>UCBothCF</t>
  </si>
  <si>
    <t>UCBothHW</t>
  </si>
  <si>
    <t>CTBothSR</t>
  </si>
  <si>
    <t>CTBothHR</t>
  </si>
  <si>
    <t>CTBothLW</t>
  </si>
  <si>
    <t>CTBothCF</t>
  </si>
  <si>
    <t>CTBothHW</t>
  </si>
  <si>
    <t>CHSSR</t>
  </si>
  <si>
    <t>CHSHR</t>
  </si>
  <si>
    <t>CHSCF</t>
  </si>
  <si>
    <t>CHSLW</t>
  </si>
  <si>
    <t>CHSHW</t>
  </si>
  <si>
    <t>FP</t>
  </si>
  <si>
    <t>At segment end</t>
  </si>
  <si>
    <t>EZ150-10</t>
  </si>
  <si>
    <t>EZ150-12</t>
  </si>
  <si>
    <t>EZ150-15</t>
  </si>
  <si>
    <t>EZ150-19</t>
  </si>
  <si>
    <t>EZ150-24</t>
  </si>
  <si>
    <t>EZ200-12</t>
  </si>
  <si>
    <t>EZ200-15</t>
  </si>
  <si>
    <t>EZ200-19</t>
  </si>
  <si>
    <t>EZ200-24</t>
  </si>
  <si>
    <t>EZ300-19</t>
  </si>
  <si>
    <t>EZ300-24</t>
  </si>
  <si>
    <t>EZ300-30</t>
  </si>
  <si>
    <t>EZ350-19</t>
  </si>
  <si>
    <t>EZ350-24</t>
  </si>
  <si>
    <t>EZ350-30</t>
  </si>
  <si>
    <t>EZ250-15</t>
  </si>
  <si>
    <t>EZ250-19</t>
  </si>
  <si>
    <t>EZ250-24</t>
  </si>
  <si>
    <t>bf2</t>
  </si>
  <si>
    <t>CTOneSR</t>
  </si>
  <si>
    <t>CTOneHR</t>
  </si>
  <si>
    <t>CTOneLW</t>
  </si>
  <si>
    <t>CTOneCF</t>
  </si>
  <si>
    <t>CTOneHW</t>
  </si>
  <si>
    <t>Column1.24</t>
  </si>
  <si>
    <t>Column1.25</t>
  </si>
  <si>
    <t>Column1.26</t>
  </si>
  <si>
    <t>Column1.27</t>
  </si>
  <si>
    <t>x</t>
  </si>
  <si>
    <t>RHS</t>
  </si>
  <si>
    <t>7.14</t>
  </si>
  <si>
    <t>C</t>
  </si>
  <si>
    <t>N</t>
  </si>
  <si>
    <t>S</t>
  </si>
  <si>
    <t>12.5</t>
  </si>
  <si>
    <t>5.18</t>
  </si>
  <si>
    <t>13.6</t>
  </si>
  <si>
    <t>3.88</t>
  </si>
  <si>
    <t>3170</t>
  </si>
  <si>
    <t>2230</t>
  </si>
  <si>
    <t>200</t>
  </si>
  <si>
    <t>2000</t>
  </si>
  <si>
    <t>13.1</t>
  </si>
  <si>
    <t>250</t>
  </si>
  <si>
    <t>1450</t>
  </si>
  <si>
    <t>836</t>
  </si>
  <si>
    <t>10.8</t>
  </si>
  <si>
    <t>21.5</t>
  </si>
  <si>
    <t>292</t>
  </si>
  <si>
    <t>108</t>
  </si>
  <si>
    <t>211</t>
  </si>
  <si>
    <t>64.3</t>
  </si>
  <si>
    <t>22.7</t>
  </si>
  <si>
    <t>14.5</t>
  </si>
  <si>
    <t>54.9</t>
  </si>
  <si>
    <t>86.2</t>
  </si>
  <si>
    <t>69.8</t>
  </si>
  <si>
    <t>40.9</t>
  </si>
  <si>
    <t>10.4</t>
  </si>
  <si>
    <t>16.6</t>
  </si>
  <si>
    <t>29.3</t>
  </si>
  <si>
    <t>11.8</t>
  </si>
  <si>
    <t>6.04</t>
  </si>
  <si>
    <t>5.05</t>
  </si>
  <si>
    <t>9.10</t>
  </si>
  <si>
    <t>7.62</t>
  </si>
  <si>
    <t>4.60</t>
  </si>
  <si>
    <t>3.92</t>
  </si>
  <si>
    <t>3.29</t>
  </si>
  <si>
    <t>3.49</t>
  </si>
  <si>
    <t>3.00</t>
  </si>
  <si>
    <t>2.55</t>
  </si>
  <si>
    <t>2590</t>
  </si>
  <si>
    <t>2130</t>
  </si>
  <si>
    <t>1750</t>
  </si>
  <si>
    <t>1650</t>
  </si>
  <si>
    <t>1370</t>
  </si>
  <si>
    <t>1130</t>
  </si>
  <si>
    <t>1840</t>
  </si>
  <si>
    <t>1520</t>
  </si>
  <si>
    <t>1250</t>
  </si>
  <si>
    <t>1210</t>
  </si>
  <si>
    <t>1010</t>
  </si>
  <si>
    <t>838</t>
  </si>
  <si>
    <t>651</t>
  </si>
  <si>
    <t>710</t>
  </si>
  <si>
    <t>602</t>
  </si>
  <si>
    <t>554</t>
  </si>
  <si>
    <t>61.2</t>
  </si>
  <si>
    <t>504</t>
  </si>
  <si>
    <t>395</t>
  </si>
  <si>
    <t>337</t>
  </si>
  <si>
    <t>272</t>
  </si>
  <si>
    <t>172</t>
  </si>
  <si>
    <t>142</t>
  </si>
  <si>
    <t>31.2</t>
  </si>
  <si>
    <t>94.3</t>
  </si>
  <si>
    <t>197</t>
  </si>
  <si>
    <t>182</t>
  </si>
  <si>
    <t>147</t>
  </si>
  <si>
    <t>127</t>
  </si>
  <si>
    <t>105</t>
  </si>
  <si>
    <t>56.8</t>
  </si>
  <si>
    <t>38.3</t>
  </si>
  <si>
    <t>32.8</t>
  </si>
  <si>
    <t>26.9</t>
  </si>
  <si>
    <t>48.6</t>
  </si>
  <si>
    <t>37.2</t>
  </si>
  <si>
    <t>75.3</t>
  </si>
  <si>
    <t>63.0</t>
  </si>
  <si>
    <t>49.5</t>
  </si>
  <si>
    <t>42.1</t>
  </si>
  <si>
    <t>34.4</t>
  </si>
  <si>
    <t>46.1</t>
  </si>
  <si>
    <t>36.5</t>
  </si>
  <si>
    <t>28.2</t>
  </si>
  <si>
    <t>25.0</t>
  </si>
  <si>
    <t>17.7</t>
  </si>
  <si>
    <t>26.4</t>
  </si>
  <si>
    <t>18.4</t>
  </si>
  <si>
    <t>15.9</t>
  </si>
  <si>
    <t>mm5</t>
  </si>
  <si>
    <t>mm7</t>
  </si>
  <si>
    <t>mm8</t>
  </si>
  <si>
    <t>mm39</t>
  </si>
  <si>
    <t>mm10</t>
  </si>
  <si>
    <t>mm411</t>
  </si>
  <si>
    <t>mm312</t>
  </si>
  <si>
    <t>mm313</t>
  </si>
  <si>
    <t>mm314</t>
  </si>
  <si>
    <t>mm15</t>
  </si>
  <si>
    <t>mm416</t>
  </si>
  <si>
    <t>Column1</t>
  </si>
  <si>
    <t>Column2</t>
  </si>
  <si>
    <t>Column3</t>
  </si>
  <si>
    <t>Column4</t>
  </si>
  <si>
    <t>Column5</t>
  </si>
  <si>
    <t>Column6</t>
  </si>
  <si>
    <t>Column7</t>
  </si>
  <si>
    <t>Modulus</t>
  </si>
  <si>
    <t>mm32</t>
  </si>
  <si>
    <t>Zex</t>
  </si>
  <si>
    <t>Zey</t>
  </si>
  <si>
    <t>Compactness</t>
  </si>
  <si>
    <t>75x25x2.5RHS</t>
  </si>
  <si>
    <t>75x25x2RHS</t>
  </si>
  <si>
    <t>75x25x1.6RHS</t>
  </si>
  <si>
    <t>65x35x4RHS</t>
  </si>
  <si>
    <t>65x35x3RHS</t>
  </si>
  <si>
    <t>65x35x2.5RHS</t>
  </si>
  <si>
    <t>65x35x2RHS</t>
  </si>
  <si>
    <t>50x25x3RHS</t>
  </si>
  <si>
    <t>50x25x2.5RHS</t>
  </si>
  <si>
    <t>50x25x2RHS</t>
  </si>
  <si>
    <t>50x25x1.6RHS</t>
  </si>
  <si>
    <t>50x20x3RHS</t>
  </si>
  <si>
    <t>50x20x2.5RHS</t>
  </si>
  <si>
    <t>50x20x2RHS</t>
  </si>
  <si>
    <t>50x20x1.6RHS</t>
  </si>
  <si>
    <t>400x300x16RHS</t>
  </si>
  <si>
    <t>400x300x12.5RHS</t>
  </si>
  <si>
    <t>400x300x10RHS</t>
  </si>
  <si>
    <t>400x300x8RHS</t>
  </si>
  <si>
    <t>400x200x16RHS</t>
  </si>
  <si>
    <t>400x200x12.5RHS</t>
  </si>
  <si>
    <t>400x200x10RHS</t>
  </si>
  <si>
    <t>400x200x8RHS</t>
  </si>
  <si>
    <t>350x250x16RHS</t>
  </si>
  <si>
    <t>350x250x12.5RHS</t>
  </si>
  <si>
    <t>350x250x10RHS</t>
  </si>
  <si>
    <t>350x250x8RHS</t>
  </si>
  <si>
    <t>300x200x16RHS</t>
  </si>
  <si>
    <t>300x200x12.5RHS</t>
  </si>
  <si>
    <t>300x200x10RHS</t>
  </si>
  <si>
    <t>300x200x8RHS</t>
  </si>
  <si>
    <t>300x200x6RHS</t>
  </si>
  <si>
    <t>250x150x16RHS</t>
  </si>
  <si>
    <t>250x150x12.5RHS</t>
  </si>
  <si>
    <t>250x150x10RHS</t>
  </si>
  <si>
    <t>250x150x9RHS</t>
  </si>
  <si>
    <t>250x150x8RHS</t>
  </si>
  <si>
    <t>250x150x6RHS</t>
  </si>
  <si>
    <t>250x150x5RHS</t>
  </si>
  <si>
    <t>200x100x10RHS</t>
  </si>
  <si>
    <t>200x100x9RHS</t>
  </si>
  <si>
    <t>200x100x8RHS</t>
  </si>
  <si>
    <t>200x100x6RHS</t>
  </si>
  <si>
    <t>200x100x5RHS</t>
  </si>
  <si>
    <t>200x100x4RHS</t>
  </si>
  <si>
    <t>152x76x6RHS</t>
  </si>
  <si>
    <t>152x76x5RHS</t>
  </si>
  <si>
    <t>150x100x10RHS</t>
  </si>
  <si>
    <t>150x100x9RHS</t>
  </si>
  <si>
    <t>150x100x8RHS</t>
  </si>
  <si>
    <t>150x100x6RHS</t>
  </si>
  <si>
    <t>150x100x5RHS</t>
  </si>
  <si>
    <t>150x100x4RHS</t>
  </si>
  <si>
    <t>150x50x6RHS</t>
  </si>
  <si>
    <t>150x50x5RHS</t>
  </si>
  <si>
    <t>150x50x3RHS</t>
  </si>
  <si>
    <t>150x50x2.5RHS</t>
  </si>
  <si>
    <t>150x50x2RHS</t>
  </si>
  <si>
    <t>127x51x6RHS</t>
  </si>
  <si>
    <t>127x51x5RHS</t>
  </si>
  <si>
    <t>127x51x3.5RHS</t>
  </si>
  <si>
    <t>125x75x6RHS</t>
  </si>
  <si>
    <t>125x75x5RHS</t>
  </si>
  <si>
    <t>125x75x4RHS</t>
  </si>
  <si>
    <t>125x75x3RHS</t>
  </si>
  <si>
    <t>125x75x2.5RHS</t>
  </si>
  <si>
    <t>125x75x2RHS</t>
  </si>
  <si>
    <t>102x76x6RHS</t>
  </si>
  <si>
    <t>102x76x5RHS</t>
  </si>
  <si>
    <t>102x76x3.5RHS</t>
  </si>
  <si>
    <t>100x50x6RHS</t>
  </si>
  <si>
    <t>100x50x5RHS</t>
  </si>
  <si>
    <t>100x50x4RHS</t>
  </si>
  <si>
    <t>100x50x3.5RHS</t>
  </si>
  <si>
    <t>100x50x3RHS</t>
  </si>
  <si>
    <t>100x50x2.5RHS</t>
  </si>
  <si>
    <t>100x50x2RHS</t>
  </si>
  <si>
    <t>100x50x1.6RHS</t>
  </si>
  <si>
    <t>76x38x4RHS</t>
  </si>
  <si>
    <t>76x38x3RHS</t>
  </si>
  <si>
    <t>76x38x2.5RHS</t>
  </si>
  <si>
    <t>75x50x6RHS</t>
  </si>
  <si>
    <t>75x50x5RHS</t>
  </si>
  <si>
    <t>75x50x4RHS</t>
  </si>
  <si>
    <t>75x50x3RHS</t>
  </si>
  <si>
    <t>75x50x2.5RHS</t>
  </si>
  <si>
    <t>75x50x2RHS</t>
  </si>
  <si>
    <t>75x50x1.6RHS</t>
  </si>
  <si>
    <t>mm72</t>
  </si>
  <si>
    <t>mm73</t>
  </si>
  <si>
    <t>mm22</t>
  </si>
  <si>
    <t>Column8</t>
  </si>
  <si>
    <t>Column9</t>
  </si>
  <si>
    <t>mm16</t>
  </si>
  <si>
    <t>Column1.242</t>
  </si>
  <si>
    <t>Column1.262</t>
  </si>
  <si>
    <t>150x50x4RHS</t>
  </si>
  <si>
    <t>SHS</t>
  </si>
  <si>
    <t>50x50x6SHS</t>
  </si>
  <si>
    <t>50x50x5SHS</t>
  </si>
  <si>
    <t>50x50x4SHS</t>
  </si>
  <si>
    <t>50x50x3SHS</t>
  </si>
  <si>
    <t>50x50x2.5SHS</t>
  </si>
  <si>
    <t>50x50x2SHS</t>
  </si>
  <si>
    <t>50x50x1.6SHS</t>
  </si>
  <si>
    <t>40x40x4SHS</t>
  </si>
  <si>
    <t>40x40x3SHS</t>
  </si>
  <si>
    <t>40x40x2.5SHS</t>
  </si>
  <si>
    <t>40x40x2SHS</t>
  </si>
  <si>
    <t>40x40x1.6SHS</t>
  </si>
  <si>
    <t>35x35x3SHS</t>
  </si>
  <si>
    <t>35x35x2.5SHS</t>
  </si>
  <si>
    <t>35x35x2SHS</t>
  </si>
  <si>
    <t>35x35x1.6SHS</t>
  </si>
  <si>
    <t>30x30x3SHS</t>
  </si>
  <si>
    <t>30x30x2.5SHS</t>
  </si>
  <si>
    <t>30x30x2SHS</t>
  </si>
  <si>
    <t>30x30x1.6SHS</t>
  </si>
  <si>
    <t>25x25x3SHS</t>
  </si>
  <si>
    <t>25x25x2.5SHS</t>
  </si>
  <si>
    <t>25x25x2SHS</t>
  </si>
  <si>
    <t>25x25x1.6SHS</t>
  </si>
  <si>
    <t>20x20x2SHS</t>
  </si>
  <si>
    <t>20x20x1.6SHS</t>
  </si>
  <si>
    <t>400x400x16SHS</t>
  </si>
  <si>
    <t>400x400x12.5SHS</t>
  </si>
  <si>
    <t>400x400x10SHS</t>
  </si>
  <si>
    <t>350x350x16SHS</t>
  </si>
  <si>
    <t>350x350x12.5SHS</t>
  </si>
  <si>
    <t>350x350x10SHS</t>
  </si>
  <si>
    <t>350x350x8SHS</t>
  </si>
  <si>
    <t>300x300x16SHS</t>
  </si>
  <si>
    <t>300x300x12.5SHS</t>
  </si>
  <si>
    <t>300x300x10SHS</t>
  </si>
  <si>
    <t>300x300x8SHS</t>
  </si>
  <si>
    <t>250x250x16SHS</t>
  </si>
  <si>
    <t>250x250x12.5SHS</t>
  </si>
  <si>
    <t>250x250x10SHS</t>
  </si>
  <si>
    <t>250x250x9SHS</t>
  </si>
  <si>
    <t>250x250x8SHS</t>
  </si>
  <si>
    <t>250x250x6SHS</t>
  </si>
  <si>
    <t>200x200x16SHS</t>
  </si>
  <si>
    <t>200x200x12.5SHS</t>
  </si>
  <si>
    <t>200x200x10SHS</t>
  </si>
  <si>
    <t>200x200x9SHS</t>
  </si>
  <si>
    <t>200x200x8SHS</t>
  </si>
  <si>
    <t>200x200x6SHS</t>
  </si>
  <si>
    <t>200x200x5SHS</t>
  </si>
  <si>
    <t>150x150x10SHS</t>
  </si>
  <si>
    <t>150x150x9SHS</t>
  </si>
  <si>
    <t>150x150x8SHS</t>
  </si>
  <si>
    <t>150x150x6SHS</t>
  </si>
  <si>
    <t>150x150x5SHS</t>
  </si>
  <si>
    <t>125x125x10SHS</t>
  </si>
  <si>
    <t>125x125x9SHS</t>
  </si>
  <si>
    <t>125x125x8SHS</t>
  </si>
  <si>
    <t>125x125x6SHS</t>
  </si>
  <si>
    <t>125x125x5SHS</t>
  </si>
  <si>
    <t>125x125x4SHS</t>
  </si>
  <si>
    <t>100x100x10SHS</t>
  </si>
  <si>
    <t>100x100x9SHS</t>
  </si>
  <si>
    <t>100x100x8SHS</t>
  </si>
  <si>
    <t>100x100x6SHS</t>
  </si>
  <si>
    <t>100x100x5SHS</t>
  </si>
  <si>
    <t>100x100x4SHS</t>
  </si>
  <si>
    <t>100x100x3SHS</t>
  </si>
  <si>
    <t>100x100x2.5SHS</t>
  </si>
  <si>
    <t>100x100x2SHS</t>
  </si>
  <si>
    <t>90x90x2.5SHS</t>
  </si>
  <si>
    <t>90x90x2SHS</t>
  </si>
  <si>
    <t>89x89x6SHS</t>
  </si>
  <si>
    <t>89x89x5SHS</t>
  </si>
  <si>
    <t>89x89x3.5SHS</t>
  </si>
  <si>
    <t>89x89x2SHS</t>
  </si>
  <si>
    <t>75x75x6SHS</t>
  </si>
  <si>
    <t>75x75x5SHS</t>
  </si>
  <si>
    <t>75x75x4SHS</t>
  </si>
  <si>
    <t>75x75x3.5SHS</t>
  </si>
  <si>
    <t>75x75x3SHS</t>
  </si>
  <si>
    <t>75x75x2.5SHS</t>
  </si>
  <si>
    <t>75x75x2SHS</t>
  </si>
  <si>
    <t>65x65x6SHS</t>
  </si>
  <si>
    <t>65x65x5SHS</t>
  </si>
  <si>
    <t>65x65x4SHS</t>
  </si>
  <si>
    <t>65x65x3SHS</t>
  </si>
  <si>
    <t>65x65x2.5SHS</t>
  </si>
  <si>
    <t>65x65x2SHS</t>
  </si>
  <si>
    <t>65x65x1.6SHS</t>
  </si>
  <si>
    <t>mm82</t>
  </si>
  <si>
    <t>mm42</t>
  </si>
  <si>
    <t>Iy</t>
  </si>
  <si>
    <t>Zy</t>
  </si>
  <si>
    <t>mm40</t>
  </si>
  <si>
    <t>Sy</t>
  </si>
  <si>
    <t>mm11</t>
  </si>
  <si>
    <t>Column12</t>
  </si>
  <si>
    <t>mm62</t>
  </si>
  <si>
    <t>Ag</t>
  </si>
  <si>
    <t>I</t>
  </si>
  <si>
    <t>Z</t>
  </si>
  <si>
    <t>r</t>
  </si>
  <si>
    <t>mm3122</t>
  </si>
  <si>
    <t>mm417</t>
  </si>
  <si>
    <t>ry</t>
  </si>
  <si>
    <t>mm102</t>
  </si>
  <si>
    <t>165.1x5.4CHS</t>
  </si>
  <si>
    <t>165.1x5CHS</t>
  </si>
  <si>
    <t>139.7x5.4CHS</t>
  </si>
  <si>
    <t>139.7x5CHS</t>
  </si>
  <si>
    <t>114.3x5.4CHS</t>
  </si>
  <si>
    <t>114.3x4.5CHS</t>
  </si>
  <si>
    <t>101.6x5CHS</t>
  </si>
  <si>
    <t>101.6x4CHS</t>
  </si>
  <si>
    <t>88.9x5.9CHS</t>
  </si>
  <si>
    <t>88.9x5CHS</t>
  </si>
  <si>
    <t>88.9x4CHS</t>
  </si>
  <si>
    <t>76.1x5.9CHS</t>
  </si>
  <si>
    <t>76.1x4.5CHS</t>
  </si>
  <si>
    <t>76.1x3.6CHS</t>
  </si>
  <si>
    <t>60.3x5.4CHS</t>
  </si>
  <si>
    <t>60.3x4.5CHS</t>
  </si>
  <si>
    <t>60.3x3.6CHS</t>
  </si>
  <si>
    <t>48.3x4CHS</t>
  </si>
  <si>
    <t>48.3x3.2CHS</t>
  </si>
  <si>
    <t>42.4x4CHS</t>
  </si>
  <si>
    <t>42.4x3.2CHS</t>
  </si>
  <si>
    <t>33.7x4CHS</t>
  </si>
  <si>
    <t>33.7x3.2CHS</t>
  </si>
  <si>
    <t>26.9x4CHS</t>
  </si>
  <si>
    <t>26.9x3.2CHS</t>
  </si>
  <si>
    <t>26.9x2.6CHS</t>
  </si>
  <si>
    <t>508x12.7CHS</t>
  </si>
  <si>
    <t>508x9.5CHS</t>
  </si>
  <si>
    <t>508x6.4CHS</t>
  </si>
  <si>
    <t>457x12.7CHS</t>
  </si>
  <si>
    <t>457x9.5CHS</t>
  </si>
  <si>
    <t>457x6.4CHS</t>
  </si>
  <si>
    <t>406.4x12.7CHS</t>
  </si>
  <si>
    <t>406.4x9.5CHS</t>
  </si>
  <si>
    <t>406.4x6.4CHS</t>
  </si>
  <si>
    <t>355.6x12.7CHS</t>
  </si>
  <si>
    <t>355.6x9.5CHS</t>
  </si>
  <si>
    <t>355.6x6.4CHS</t>
  </si>
  <si>
    <t>323.9x12.7CHS</t>
  </si>
  <si>
    <t>323.9x9.5CHS</t>
  </si>
  <si>
    <t>323.9x6.4CHS</t>
  </si>
  <si>
    <t>273.1x12.7CHS</t>
  </si>
  <si>
    <t>273.1x9.3CHS</t>
  </si>
  <si>
    <t>273.1x6.4CHS</t>
  </si>
  <si>
    <t>273.1x4.8CHS</t>
  </si>
  <si>
    <t>219.1x8.2CHS</t>
  </si>
  <si>
    <t>219.1x6.4CHS</t>
  </si>
  <si>
    <t>219.1x4.8CHS</t>
  </si>
  <si>
    <t>168.3x7.1CHS</t>
  </si>
  <si>
    <t>168.3x6.4CHS</t>
  </si>
  <si>
    <t>168.3x4.8CHS</t>
  </si>
  <si>
    <t>165.1x3.5CHS</t>
  </si>
  <si>
    <t>165.1x3CHS</t>
  </si>
  <si>
    <t>139.7x3.5CHS</t>
  </si>
  <si>
    <t>139.7x3CHS</t>
  </si>
  <si>
    <t>114.3x3.6CHS</t>
  </si>
  <si>
    <t>114.3x3.2CHS</t>
  </si>
  <si>
    <t>101.6x3.2CHS</t>
  </si>
  <si>
    <t>101.6x2.6CHS</t>
  </si>
  <si>
    <t>88.9x3.2CHS</t>
  </si>
  <si>
    <t>88.9x2.6CHS</t>
  </si>
  <si>
    <t>76.1x3.2CHS</t>
  </si>
  <si>
    <t>76.1x2.3CHS</t>
  </si>
  <si>
    <t>60.3x2.9CHS</t>
  </si>
  <si>
    <t>60.3x2.3CHS</t>
  </si>
  <si>
    <t>48.3x2.9CHS</t>
  </si>
  <si>
    <t>48.3x2.3CHS</t>
  </si>
  <si>
    <t>42.4x2.6CHS</t>
  </si>
  <si>
    <t>42.4x2CHS</t>
  </si>
  <si>
    <t>33.7x2.6CHS</t>
  </si>
  <si>
    <t>33.7x2CHS</t>
  </si>
  <si>
    <t>26.9x2.3CHS</t>
  </si>
  <si>
    <t>26.9x2CHS</t>
  </si>
  <si>
    <t>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</si>
</sst>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0.000"/>
    <numFmt numFmtId="166" formatCode="0.0E+00"/>
    <numFmt numFmtId="167" formatCode="0.000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vertAlign val="subscript"/>
      <sz val="8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vertAlign val="superscript"/>
      <sz val="8"/>
      <name val="Arial"/>
      <family val="2"/>
    </font>
    <font>
      <sz val="10"/>
      <name val="Arial"/>
      <family val="2"/>
    </font>
    <font>
      <sz val="10"/>
      <name val="Column_type"/>
    </font>
    <font>
      <b/>
      <sz val="10"/>
      <name val="Arial"/>
      <family val="2"/>
    </font>
    <font>
      <b/>
      <sz val="10"/>
      <name val="Column_type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1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1" xfId="0" applyBorder="1"/>
    <xf numFmtId="0" fontId="0" fillId="0" borderId="8" xfId="0" applyBorder="1"/>
    <xf numFmtId="0" fontId="1" fillId="0" borderId="0" xfId="0" applyFont="1"/>
    <xf numFmtId="0" fontId="0" fillId="0" borderId="3" xfId="0" applyFill="1" applyBorder="1"/>
    <xf numFmtId="2" fontId="0" fillId="0" borderId="0" xfId="0" applyNumberFormat="1"/>
    <xf numFmtId="164" fontId="0" fillId="0" borderId="0" xfId="0" applyNumberFormat="1"/>
    <xf numFmtId="0" fontId="0" fillId="0" borderId="0" xfId="0" applyFill="1" applyBorder="1"/>
    <xf numFmtId="0" fontId="10" fillId="0" borderId="0" xfId="0" applyFont="1"/>
    <xf numFmtId="0" fontId="11" fillId="0" borderId="0" xfId="0" applyFont="1"/>
    <xf numFmtId="0" fontId="9" fillId="0" borderId="0" xfId="0" applyFont="1"/>
    <xf numFmtId="165" fontId="0" fillId="0" borderId="9" xfId="0" applyNumberFormat="1" applyBorder="1"/>
    <xf numFmtId="0" fontId="12" fillId="0" borderId="0" xfId="0" applyFont="1"/>
    <xf numFmtId="0" fontId="0" fillId="0" borderId="0" xfId="0"/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Continuous" vertical="center"/>
    </xf>
    <xf numFmtId="0" fontId="4" fillId="2" borderId="6" xfId="0" applyFont="1" applyFill="1" applyBorder="1" applyAlignment="1">
      <alignment horizontal="centerContinuous" vertic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5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1" fontId="0" fillId="0" borderId="9" xfId="0" applyNumberFormat="1" applyBorder="1"/>
    <xf numFmtId="0" fontId="0" fillId="0" borderId="9" xfId="0" applyBorder="1"/>
    <xf numFmtId="165" fontId="0" fillId="4" borderId="9" xfId="0" applyNumberFormat="1" applyFill="1" applyBorder="1"/>
    <xf numFmtId="164" fontId="0" fillId="0" borderId="9" xfId="0" applyNumberFormat="1" applyBorder="1"/>
    <xf numFmtId="0" fontId="4" fillId="2" borderId="8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0" fillId="4" borderId="0" xfId="0" applyFill="1"/>
    <xf numFmtId="0" fontId="4" fillId="4" borderId="1" xfId="0" applyFont="1" applyFill="1" applyBorder="1" applyAlignment="1">
      <alignment horizontal="center"/>
    </xf>
    <xf numFmtId="49" fontId="0" fillId="0" borderId="0" xfId="0" applyNumberFormat="1"/>
    <xf numFmtId="1" fontId="0" fillId="0" borderId="0" xfId="0" applyNumberFormat="1"/>
    <xf numFmtId="0" fontId="4" fillId="4" borderId="5" xfId="0" applyFont="1" applyFill="1" applyBorder="1" applyAlignment="1">
      <alignment horizontal="centerContinuous" vertical="center"/>
    </xf>
    <xf numFmtId="0" fontId="4" fillId="2" borderId="10" xfId="0" applyFont="1" applyFill="1" applyBorder="1" applyAlignment="1">
      <alignment horizontal="center"/>
    </xf>
    <xf numFmtId="0" fontId="0" fillId="0" borderId="11" xfId="0" applyBorder="1"/>
    <xf numFmtId="9" fontId="0" fillId="3" borderId="0" xfId="1" applyFont="1" applyFill="1" applyBorder="1"/>
    <xf numFmtId="0" fontId="0" fillId="4" borderId="9" xfId="0" applyFill="1" applyBorder="1"/>
    <xf numFmtId="0" fontId="0" fillId="5" borderId="0" xfId="0" applyFill="1"/>
    <xf numFmtId="164" fontId="0" fillId="0" borderId="0" xfId="0" applyNumberFormat="1"/>
    <xf numFmtId="0" fontId="0" fillId="0" borderId="12" xfId="0" applyBorder="1"/>
    <xf numFmtId="0" fontId="0" fillId="0" borderId="13" xfId="0" applyBorder="1"/>
    <xf numFmtId="9" fontId="0" fillId="0" borderId="0" xfId="1" applyFont="1"/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 vertical="center"/>
    </xf>
    <xf numFmtId="1" fontId="0" fillId="6" borderId="9" xfId="0" applyNumberFormat="1" applyFill="1" applyBorder="1"/>
    <xf numFmtId="0" fontId="0" fillId="6" borderId="9" xfId="0" applyFill="1" applyBorder="1"/>
    <xf numFmtId="165" fontId="0" fillId="6" borderId="9" xfId="0" applyNumberFormat="1" applyFill="1" applyBorder="1"/>
    <xf numFmtId="164" fontId="0" fillId="6" borderId="9" xfId="0" applyNumberFormat="1" applyFill="1" applyBorder="1"/>
    <xf numFmtId="0" fontId="4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0" fillId="3" borderId="0" xfId="0" applyFill="1"/>
    <xf numFmtId="0" fontId="4" fillId="2" borderId="1" xfId="0" applyFont="1" applyFill="1" applyBorder="1"/>
    <xf numFmtId="166" fontId="0" fillId="0" borderId="0" xfId="0" applyNumberFormat="1"/>
    <xf numFmtId="0" fontId="0" fillId="0" borderId="0" xfId="0"/>
    <xf numFmtId="0" fontId="7" fillId="3" borderId="0" xfId="0" applyFont="1" applyFill="1" applyBorder="1" applyAlignment="1">
      <alignment horizontal="center"/>
    </xf>
    <xf numFmtId="0" fontId="0" fillId="4" borderId="0" xfId="0" applyFill="1"/>
    <xf numFmtId="1" fontId="0" fillId="0" borderId="0" xfId="0" applyNumberFormat="1"/>
    <xf numFmtId="164" fontId="0" fillId="0" borderId="0" xfId="0" applyNumberFormat="1"/>
    <xf numFmtId="0" fontId="0" fillId="7" borderId="0" xfId="0" applyFill="1"/>
    <xf numFmtId="167" fontId="0" fillId="0" borderId="0" xfId="0" applyNumberFormat="1"/>
    <xf numFmtId="0" fontId="3" fillId="0" borderId="1" xfId="0" applyFont="1" applyBorder="1"/>
    <xf numFmtId="0" fontId="1" fillId="7" borderId="0" xfId="0" applyFont="1" applyFill="1"/>
    <xf numFmtId="0" fontId="0" fillId="8" borderId="1" xfId="0" applyFill="1" applyBorder="1"/>
    <xf numFmtId="0" fontId="3" fillId="0" borderId="1" xfId="0" applyFont="1" applyFill="1" applyBorder="1"/>
    <xf numFmtId="0" fontId="0" fillId="0" borderId="0" xfId="0" applyFill="1"/>
    <xf numFmtId="0" fontId="1" fillId="0" borderId="0" xfId="0" applyFont="1" applyFill="1"/>
    <xf numFmtId="164" fontId="0" fillId="0" borderId="0" xfId="0" applyNumberFormat="1" applyFill="1"/>
    <xf numFmtId="2" fontId="0" fillId="0" borderId="0" xfId="0" applyNumberFormat="1" applyFill="1"/>
    <xf numFmtId="1" fontId="0" fillId="0" borderId="0" xfId="0" applyNumberFormat="1" applyFill="1"/>
    <xf numFmtId="2" fontId="1" fillId="0" borderId="0" xfId="0" applyNumberFormat="1" applyFont="1" applyFill="1"/>
    <xf numFmtId="0" fontId="16" fillId="0" borderId="0" xfId="0" applyFont="1" applyFill="1"/>
    <xf numFmtId="0" fontId="0" fillId="0" borderId="0" xfId="0" applyFont="1" applyFill="1" applyBorder="1"/>
    <xf numFmtId="164" fontId="1" fillId="0" borderId="0" xfId="0" applyNumberFormat="1" applyFont="1" applyFill="1"/>
    <xf numFmtId="0" fontId="0" fillId="8" borderId="0" xfId="0" applyFill="1"/>
    <xf numFmtId="0" fontId="0" fillId="0" borderId="0" xfId="0" applyNumberFormat="1"/>
    <xf numFmtId="0" fontId="4" fillId="2" borderId="3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centerContinuous" vertical="center"/>
    </xf>
    <xf numFmtId="0" fontId="4" fillId="2" borderId="3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3">
    <dxf>
      <numFmt numFmtId="0" formatCode="General"/>
    </dxf>
    <dxf>
      <numFmt numFmtId="0" formatCode="General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3" defaultTableStyle="TableStyleMedium2" defaultPivotStyle="PivotStyleLight16">
    <tableStyle name="Table Style 1" pivot="0" count="0" xr9:uid="{2B220ED5-1760-45AB-9FEA-1DA6AD6544A1}"/>
    <tableStyle name="Table Style 2" pivot="0" count="0" xr9:uid="{9CE3BF71-7B12-4EB7-ABB1-FD9FD1C164AD}"/>
    <tableStyle name="Table Style 3" pivot="0" count="0" xr9:uid="{C89EE0B6-89E1-42E5-A875-AF0392695A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22</xdr:row>
      <xdr:rowOff>0</xdr:rowOff>
    </xdr:from>
    <xdr:ext cx="3108572" cy="556948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981450"/>
          <a:ext cx="3108572" cy="556948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520700</xdr:colOff>
      <xdr:row>37</xdr:row>
      <xdr:rowOff>60325</xdr:rowOff>
    </xdr:from>
    <xdr:ext cx="2779395" cy="3736975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089890" y="6752590"/>
          <a:ext cx="2779395" cy="3736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203200</xdr:colOff>
      <xdr:row>13</xdr:row>
      <xdr:rowOff>57150</xdr:rowOff>
    </xdr:from>
    <xdr:ext cx="3801903" cy="3077454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4610" y="2406015"/>
          <a:ext cx="3801903" cy="307745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duffett/AppData/Local/Microsoft/Windows/INetCache/Content.Outlook/7YUQR897/Steel%20design%20PAR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versal_Beam"/>
      <sheetName val="Universal_Column"/>
      <sheetName val="Equal_Angle"/>
      <sheetName val="PFC"/>
      <sheetName val="Welded_Beam"/>
      <sheetName val="Welded_Column"/>
      <sheetName val="Input"/>
      <sheetName val="Capacity"/>
      <sheetName val="Sheet 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Universal_Beam</v>
          </cell>
        </row>
        <row r="2">
          <cell r="A2" t="str">
            <v>Universal_Column</v>
          </cell>
        </row>
        <row r="3">
          <cell r="A3" t="str">
            <v>Equal_Angle</v>
          </cell>
        </row>
        <row r="4">
          <cell r="A4" t="str">
            <v>PFC</v>
          </cell>
        </row>
        <row r="5">
          <cell r="A5" t="str">
            <v>Welded_Beam</v>
          </cell>
        </row>
        <row r="6">
          <cell r="A6" t="str">
            <v>Welded_Column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9FCACD-941A-42C9-86F7-D1E808B6853A}" name="TEst_2" displayName="TEst_2" ref="B7:V80" totalsRowShown="0" headerRowDxfId="20">
  <autoFilter ref="B7:V80" xr:uid="{0E9FCACD-941A-42C9-86F7-D1E808B6853A}"/>
  <tableColumns count="21">
    <tableColumn id="1" xr3:uid="{F17095A9-78DB-46ED-83CF-9BBD29F11428}" name="  mm    mm    mm"/>
    <tableColumn id="2" xr3:uid="{CDCE17DB-B05F-4F42-8B5D-16D8296AB8EF}" name="mm" dataDxfId="19"/>
    <tableColumn id="3" xr3:uid="{2DEE30B3-296D-41BA-8B18-8144860788C3}" name="mm5"/>
    <tableColumn id="4" xr3:uid="{9692D168-58FF-44D9-8F61-CB73F622E464}" name="mm7" dataDxfId="18"/>
    <tableColumn id="5" xr3:uid="{E4D33BD5-8C69-4189-9772-B838AF8A5178}" name="mm8"/>
    <tableColumn id="6" xr3:uid="{6A19E64D-A1C3-45BF-BF81-5B7BBBF8452E}" name="kg/m"/>
    <tableColumn id="7" xr3:uid="{2EE67D98-2D09-49B5-9EFA-3BFBA70D83FE}" name="mm2"/>
    <tableColumn id="8" xr3:uid="{C5E4B546-8060-441D-B57C-3AE3E3D2330F}" name="mm4"/>
    <tableColumn id="9" xr3:uid="{BBD32867-9EBE-4581-906C-2C4866F3EF21}" name="mm3"/>
    <tableColumn id="19" xr3:uid="{B72C12C2-6143-4B69-BBF3-33D272FAA515}" name="mm32" dataDxfId="17"/>
    <tableColumn id="10" xr3:uid="{2630E0C1-D5C1-4723-82C7-085B9274E6A6}" name="mm39" dataDxfId="16"/>
    <tableColumn id="11" xr3:uid="{1C9526DF-83D7-48EC-B8A8-0083A581DBF5}" name="mm10" dataDxfId="15"/>
    <tableColumn id="12" xr3:uid="{C729BA2D-C01D-4F85-9EF0-9BA883BB3D99}" name="mm411"/>
    <tableColumn id="13" xr3:uid="{18C3EA77-F594-49C0-A5B0-2095F7F5B609}" name="mm312"/>
    <tableColumn id="20" xr3:uid="{6E1BA670-8F9D-4CF1-BB82-F536B975F3A9}" name="mm3122" dataDxfId="14"/>
    <tableColumn id="14" xr3:uid="{6FAEC9EB-E680-4F9E-9FB4-F03400A70808}" name="mm313" dataDxfId="13"/>
    <tableColumn id="15" xr3:uid="{DD197728-A680-4DF1-93A6-BBA109419E9F}" name="mm314"/>
    <tableColumn id="16" xr3:uid="{209006D2-2A85-4436-8418-6275E91FF389}" name="mm15"/>
    <tableColumn id="17" xr3:uid="{CE908728-1CD6-4ECC-998E-611EFAA10322}" name="mm416" dataDxfId="12"/>
    <tableColumn id="21" xr3:uid="{A939678E-7A2B-42C8-96F4-B1CF4EAD5C90}" name="mm417" dataDxfId="11"/>
    <tableColumn id="18" xr3:uid="{0CB83E4C-4204-4935-9D5F-88CF4764D6AC}" name="mm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A247DC-F275-4F35-A155-8FF1B919780B}" name="TEst__2" displayName="TEst__2" ref="A7:AJ96" totalsRowShown="0">
  <autoFilter ref="A7:AJ96" xr:uid="{84A247DC-F275-4F35-A155-8FF1B919780B}"/>
  <sortState xmlns:xlrd2="http://schemas.microsoft.com/office/spreadsheetml/2017/richdata2" ref="A8:AJ96">
    <sortCondition ref="B7:B96"/>
  </sortState>
  <tableColumns count="36">
    <tableColumn id="34" xr3:uid="{4536C914-1538-4D4B-90E1-E70B8B1E3FB5}" name="  mm    mm    mm" dataDxfId="42"/>
    <tableColumn id="1" xr3:uid="{CC63E701-3F0D-4FA7-A282-D0251F1E07E7}" name="mm"/>
    <tableColumn id="35" xr3:uid="{52346AF8-B287-4A07-AE0C-806949B67897}" name="Column1" dataDxfId="41"/>
    <tableColumn id="2" xr3:uid="{855FCD2D-0F5F-4E30-8433-8F6B38246424}" name="Column12" dataDxfId="40"/>
    <tableColumn id="3" xr3:uid="{50C73063-C2A1-4703-BBF7-C34192815F79}" name="mm5"/>
    <tableColumn id="4" xr3:uid="{0A6D4645-68CF-487F-90CE-D8B3EBCAF210}" name="Column2" dataDxfId="39"/>
    <tableColumn id="5" xr3:uid="{D74E0361-FC15-4540-A14B-4AC3D78E8323}" name="mm7"/>
    <tableColumn id="28" xr3:uid="{3FB4A3D6-507F-451E-8FF9-C4DEBC672878}" name="mm72"/>
    <tableColumn id="29" xr3:uid="{B743D035-F291-4E39-840F-E23EB4A6082D}" name="mm73"/>
    <tableColumn id="6" xr3:uid="{90E671C2-36B5-4A58-95BC-991CF1A873D1}" name="mm8" dataDxfId="38"/>
    <tableColumn id="7" xr3:uid="{F7085E13-8803-4C29-B679-7D89BD490A8C}" name="kg/m"/>
    <tableColumn id="8" xr3:uid="{BAABA88E-0EA0-40A5-9BF1-D86F9EDBA558}" name="Column3"/>
    <tableColumn id="9" xr3:uid="{50E5B04A-EDDF-4C01-A4E3-C3A27DA45FB9}" name="Column4"/>
    <tableColumn id="10" xr3:uid="{FC816072-5726-4FBD-AF07-CD058F89E8DD}" name="Column5"/>
    <tableColumn id="11" xr3:uid="{F48C0D15-39F6-4709-8667-3F35CFDFABD5}" name="Column6"/>
    <tableColumn id="12" xr3:uid="{914FB564-F2A2-4AEE-8BB4-50EB8135CA9C}" name="mm2"/>
    <tableColumn id="30" xr3:uid="{0292C462-FB31-4FAF-94D2-73F3E8EC22EC}" name="mm22" dataDxfId="37"/>
    <tableColumn id="13" xr3:uid="{A7CFD901-80F0-47D3-ACE4-C4B0E734688C}" name="mm4"/>
    <tableColumn id="14" xr3:uid="{62524442-32C8-4C6C-A611-38589CB687C7}" name="mm3"/>
    <tableColumn id="36" xr3:uid="{6B521411-0073-45F6-A8D5-C289A6FC3864}" name="mm10"/>
    <tableColumn id="15" xr3:uid="{CD9E8162-2711-4926-BDF7-65B94CACC2A7}" name="mm102"/>
    <tableColumn id="16" xr3:uid="{7A3F9176-8EC1-46EF-9039-3437143D1F57}" name="Column8" dataDxfId="36"/>
    <tableColumn id="17" xr3:uid="{DDFCF997-D2E6-46AF-AEE6-9169737FBE1C}" name="Column9"/>
    <tableColumn id="18" xr3:uid="{206F9332-4348-4A27-A891-BE979A0600FA}" name="mm313"/>
    <tableColumn id="19" xr3:uid="{A4CD05A8-7D62-4827-AD05-8A6D6D130159}" name="mm314"/>
    <tableColumn id="20" xr3:uid="{8256278C-0854-47DF-9F0E-04089C6D00D8}" name="mm15" dataDxfId="1"/>
    <tableColumn id="31" xr3:uid="{FF7BCD3A-A393-40FE-BF06-C8418FDB69B6}" name="mm16" dataDxfId="0"/>
    <tableColumn id="21" xr3:uid="{5AF977D3-7602-4D22-8351-437B9DF16789}" name="mm416"/>
    <tableColumn id="22" xr3:uid="{62960949-B25A-49A2-9604-272B20BC3D6B}" name="mm32" dataDxfId="35"/>
    <tableColumn id="23" xr3:uid="{78881BB9-D377-49AD-9BB1-31F4BD278818}" name="Column7"/>
    <tableColumn id="24" xr3:uid="{35FCB416-D2C0-45B1-B5B0-4CF3EC5AA174}" name="Column1.24" dataDxfId="34"/>
    <tableColumn id="32" xr3:uid="{421BCBBB-287A-4652-B315-BFA887E431B3}" name="Column1.242" dataDxfId="33"/>
    <tableColumn id="25" xr3:uid="{EFAF27AD-1C32-455B-B198-59117D5CC8D8}" name="Column1.25"/>
    <tableColumn id="26" xr3:uid="{1091A2B5-5BE2-4BD4-AB30-E6B330BF8C18}" name="Column1.26" dataDxfId="32"/>
    <tableColumn id="33" xr3:uid="{F0A2658F-0C87-41EC-9A77-65D23489DE0F}" name="Column1.262" dataDxfId="31"/>
    <tableColumn id="27" xr3:uid="{49AF3336-8C20-4D4B-A7DE-C7FD115A5164}" name="Column1.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00A9B4-CA5C-44C2-848C-F59952BCA2D2}" name="TEst" displayName="TEst" ref="B7:AD97" totalsRowShown="0">
  <autoFilter ref="B7:AD97" xr:uid="{6100A9B4-CA5C-44C2-848C-F59952BCA2D2}"/>
  <tableColumns count="29">
    <tableColumn id="1" xr3:uid="{EC099A60-6114-4FBA-ACD9-ADB6408654E0}" name="mm"/>
    <tableColumn id="28" xr3:uid="{7D2AB1FB-221F-4469-A91A-C8A03AC398AD}" name="mm6" dataDxfId="30"/>
    <tableColumn id="2" xr3:uid="{3351BBD9-AB02-4CB7-877B-DC39818C5A2A}" name="mm62" dataDxfId="29"/>
    <tableColumn id="3" xr3:uid="{3EB674D7-7FDB-4E88-BDB7-10E84F91F27D}" name="mm5"/>
    <tableColumn id="4" xr3:uid="{8CE75580-ACB8-4265-8FE9-C6B563E4115D}" name="mm8" dataDxfId="28"/>
    <tableColumn id="5" xr3:uid="{E147DB76-6FEC-4B07-9076-07B7AD5B50EE}" name="mm82"/>
    <tableColumn id="6" xr3:uid="{54F0F6B9-951B-4302-A79E-3AFA7447E819}" name="Column2" dataDxfId="27"/>
    <tableColumn id="7" xr3:uid="{AEDDD969-294C-4A28-B3BD-F4433BA184A5}" name="kg/m"/>
    <tableColumn id="8" xr3:uid="{C543DB45-1B88-4F46-894C-BC9A2F9B8769}" name="Column3"/>
    <tableColumn id="9" xr3:uid="{694EC9C7-E32E-43EC-9165-455F11505C8E}" name="Column4"/>
    <tableColumn id="10" xr3:uid="{36A849E0-493E-4879-9393-CC7D3AAE5002}" name="Column5"/>
    <tableColumn id="11" xr3:uid="{96214375-758F-4370-B714-3E92CC16C944}" name="mm2"/>
    <tableColumn id="12" xr3:uid="{42430966-625F-4AE8-88FB-388020CC550D}" name="mm4"/>
    <tableColumn id="23" xr3:uid="{FE3FDA31-3FE1-40D4-92C5-4DCA2214B667}" name="mm42" dataDxfId="26"/>
    <tableColumn id="13" xr3:uid="{8DB24EF1-6AB1-4697-9414-FDD0487F9CE1}" name="mm3"/>
    <tableColumn id="24" xr3:uid="{F671C141-959B-447F-9902-ADD0394657E4}" name="mm32" dataDxfId="25"/>
    <tableColumn id="14" xr3:uid="{FFB02A6B-0893-43CC-A728-F22EE5D86616}" name="Column6"/>
    <tableColumn id="15" xr3:uid="{15D4B555-73EA-4073-B316-8635CF8D4274}" name="mm39"/>
    <tableColumn id="25" xr3:uid="{39E1703D-6C90-4F4A-978E-A9A4E63C6BCF}" name="mm40" dataDxfId="24"/>
    <tableColumn id="29" xr3:uid="{DEAD2284-6A65-4028-816B-5E8498E02775}" name="mm10"/>
    <tableColumn id="16" xr3:uid="{B844D7D3-6BB9-48E6-A9BE-0437D8584111}" name="mm102"/>
    <tableColumn id="26" xr3:uid="{CDB3DDAE-571F-4476-AF8F-8A46CF7D604D}" name="mm11" dataDxfId="23"/>
    <tableColumn id="17" xr3:uid="{F5696363-187F-488C-8CE7-8B396245860D}" name="mm411"/>
    <tableColumn id="18" xr3:uid="{74991CDB-DD17-4A27-9949-159354AE8C54}" name="mm312"/>
    <tableColumn id="19" xr3:uid="{BD641CD1-27CD-4524-BC64-6BEC4FB7BE04}" name="mm313"/>
    <tableColumn id="20" xr3:uid="{BCED8E33-FAF2-4CD1-9272-2EF107925C70}" name="mm314"/>
    <tableColumn id="21" xr3:uid="{3E2AD2AD-C908-442D-9866-2EEDFBC752CD}" name="mm15" dataDxfId="22"/>
    <tableColumn id="27" xr3:uid="{F256CEF9-D643-4F68-B0DC-C8C46B86FD92}" name="mm16" dataDxfId="21"/>
    <tableColumn id="22" xr3:uid="{3853917C-5DEF-4575-A5B6-410B831B39C3}" name="mm4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6A05-EBC5-4452-AB31-A211C6E1DA73}">
  <sheetPr codeName="Sheet1"/>
  <dimension ref="B1:W27"/>
  <sheetViews>
    <sheetView workbookViewId="0">
      <selection activeCell="I22" sqref="I22"/>
    </sheetView>
  </sheetViews>
  <sheetFormatPr defaultRowHeight="14.4"/>
  <cols>
    <col min="14" max="14" width="22" customWidth="1"/>
  </cols>
  <sheetData>
    <row r="1" spans="2:23" s="74" customFormat="1"/>
    <row r="2" spans="2:23" s="74" customFormat="1">
      <c r="J2" s="74" t="s">
        <v>435</v>
      </c>
    </row>
    <row r="3" spans="2:23">
      <c r="J3" t="s">
        <v>83</v>
      </c>
      <c r="O3" s="74" t="s">
        <v>381</v>
      </c>
      <c r="P3" s="74" t="s">
        <v>382</v>
      </c>
      <c r="Q3" s="74" t="s">
        <v>405</v>
      </c>
    </row>
    <row r="4" spans="2:23">
      <c r="B4" t="s">
        <v>5</v>
      </c>
      <c r="C4" t="s">
        <v>363</v>
      </c>
      <c r="G4" t="s">
        <v>100</v>
      </c>
      <c r="J4" t="s">
        <v>425</v>
      </c>
      <c r="N4" s="74" t="s">
        <v>363</v>
      </c>
      <c r="O4">
        <f ca="1">Moment_Calculations!C65</f>
        <v>558.9</v>
      </c>
      <c r="P4">
        <f ca="1">Moment_Calculations!C72</f>
        <v>119.03012518028952</v>
      </c>
      <c r="Q4" s="77">
        <f>Shear_Calculations!A11</f>
        <v>875.88864000000012</v>
      </c>
    </row>
    <row r="5" spans="2:23">
      <c r="B5" t="s">
        <v>4</v>
      </c>
      <c r="C5" t="s">
        <v>163</v>
      </c>
      <c r="G5" t="s">
        <v>84</v>
      </c>
      <c r="J5" t="s">
        <v>426</v>
      </c>
      <c r="N5" s="74" t="s">
        <v>364</v>
      </c>
      <c r="O5">
        <f ca="1">'Moment_Calculations (2)'!B65</f>
        <v>1.7799164700322234E-12</v>
      </c>
      <c r="P5">
        <f ca="1">'Moment_Calculations (2)'!B80</f>
        <v>1.8497405455536155E-12</v>
      </c>
      <c r="Q5" s="77" t="e">
        <f>Shear_Calculations!D11</f>
        <v>#N/A</v>
      </c>
    </row>
    <row r="6" spans="2:23">
      <c r="N6" s="94" t="s">
        <v>365</v>
      </c>
      <c r="Q6" s="77" t="e">
        <f>Shear_Calculations!G11</f>
        <v>#N/A</v>
      </c>
    </row>
    <row r="7" spans="2:23">
      <c r="D7" t="s">
        <v>398</v>
      </c>
      <c r="G7" t="s">
        <v>385</v>
      </c>
      <c r="J7" t="s">
        <v>423</v>
      </c>
      <c r="N7" s="74" t="s">
        <v>6</v>
      </c>
      <c r="O7" t="e">
        <f ca="1">'Moment_Calculations (2)'!B38</f>
        <v>#DIV/0!</v>
      </c>
      <c r="P7" t="e">
        <f ca="1">'Moment_Calculations (2)'!B53</f>
        <v>#DIV/0!</v>
      </c>
      <c r="Q7" s="77" t="e">
        <f>Shear_Calculations!J11</f>
        <v>#N/A</v>
      </c>
    </row>
    <row r="8" spans="2:23">
      <c r="B8" t="s">
        <v>75</v>
      </c>
      <c r="C8">
        <v>7.4</v>
      </c>
      <c r="D8" t="str">
        <f ca="1">IF(C8&lt;C17,"OK","NG")</f>
        <v>OK</v>
      </c>
      <c r="G8" t="s">
        <v>461</v>
      </c>
      <c r="J8" t="s">
        <v>424</v>
      </c>
      <c r="N8" s="94" t="s">
        <v>366</v>
      </c>
    </row>
    <row r="9" spans="2:23">
      <c r="B9" t="s">
        <v>0</v>
      </c>
      <c r="C9">
        <v>4.2</v>
      </c>
      <c r="D9" s="74" t="str">
        <f>IF(C9&lt;C18,"OK","NG")</f>
        <v>OK</v>
      </c>
      <c r="N9" s="94" t="s">
        <v>367</v>
      </c>
    </row>
    <row r="10" spans="2:23">
      <c r="B10" t="s">
        <v>1</v>
      </c>
      <c r="C10">
        <v>0</v>
      </c>
      <c r="G10" t="s">
        <v>409</v>
      </c>
      <c r="N10" s="74"/>
    </row>
    <row r="11" spans="2:23">
      <c r="B11" t="s">
        <v>2</v>
      </c>
      <c r="C11">
        <v>0</v>
      </c>
      <c r="F11" s="10" t="s">
        <v>372</v>
      </c>
      <c r="G11" s="12">
        <v>1</v>
      </c>
      <c r="N11" s="74"/>
    </row>
    <row r="13" spans="2:23">
      <c r="B13" t="s">
        <v>3</v>
      </c>
      <c r="C13">
        <v>10</v>
      </c>
    </row>
    <row r="15" spans="2:23">
      <c r="B15" t="s">
        <v>380</v>
      </c>
    </row>
    <row r="16" spans="2:23">
      <c r="B16" t="s">
        <v>381</v>
      </c>
      <c r="C16" s="78">
        <f ca="1">VLOOKUP(C4,N4:P11,2,0)</f>
        <v>558.9</v>
      </c>
      <c r="D16" t="s">
        <v>383</v>
      </c>
      <c r="R16" s="83" t="s">
        <v>386</v>
      </c>
      <c r="S16" s="83"/>
      <c r="T16" s="83"/>
      <c r="U16" s="83"/>
      <c r="V16" s="83"/>
      <c r="W16" s="83"/>
    </row>
    <row r="17" spans="2:19">
      <c r="B17" t="s">
        <v>382</v>
      </c>
      <c r="C17" s="78">
        <f ca="1">VLOOKUP(C4,N4:P11,3,0)</f>
        <v>119.03012518028952</v>
      </c>
      <c r="D17" t="s">
        <v>383</v>
      </c>
      <c r="R17" t="s">
        <v>387</v>
      </c>
    </row>
    <row r="18" spans="2:19">
      <c r="B18" s="74" t="s">
        <v>405</v>
      </c>
      <c r="C18" s="78">
        <f>VLOOKUP(C4,N4:Q11,4,0)</f>
        <v>875.88864000000012</v>
      </c>
      <c r="D18" s="74" t="s">
        <v>383</v>
      </c>
      <c r="S18" t="s">
        <v>388</v>
      </c>
    </row>
    <row r="19" spans="2:19">
      <c r="B19" t="s">
        <v>407</v>
      </c>
      <c r="R19" t="s">
        <v>389</v>
      </c>
    </row>
    <row r="20" spans="2:19">
      <c r="B20" s="74" t="s">
        <v>408</v>
      </c>
      <c r="C20" s="78">
        <f ca="1">IF(C8&gt;0.75*C16,C18*(2.2-(1.6*C8/C16)),C18)</f>
        <v>875.88864000000012</v>
      </c>
      <c r="D20" t="s">
        <v>383</v>
      </c>
      <c r="E20" s="74" t="str">
        <f ca="1">IF(C9&lt;C20,"OK","NG")</f>
        <v>OK</v>
      </c>
      <c r="R20" t="s">
        <v>390</v>
      </c>
    </row>
    <row r="21" spans="2:19">
      <c r="R21" t="s">
        <v>391</v>
      </c>
    </row>
    <row r="22" spans="2:19">
      <c r="R22" t="s">
        <v>392</v>
      </c>
    </row>
    <row r="23" spans="2:19">
      <c r="R23" t="s">
        <v>393</v>
      </c>
    </row>
    <row r="24" spans="2:19">
      <c r="R24" t="s">
        <v>394</v>
      </c>
    </row>
    <row r="25" spans="2:19">
      <c r="R25" t="s">
        <v>395</v>
      </c>
    </row>
    <row r="26" spans="2:19">
      <c r="R26" t="s">
        <v>396</v>
      </c>
    </row>
    <row r="27" spans="2:19">
      <c r="I27" s="74"/>
      <c r="K27" s="74"/>
      <c r="M27" s="74"/>
      <c r="R27" t="s">
        <v>397</v>
      </c>
    </row>
  </sheetData>
  <conditionalFormatting sqref="D8">
    <cfRule type="containsText" dxfId="10" priority="4" operator="containsText" text="OK">
      <formula>NOT(ISERROR(SEARCH("OK",D8)))</formula>
    </cfRule>
  </conditionalFormatting>
  <conditionalFormatting sqref="D9">
    <cfRule type="containsText" dxfId="9" priority="3" operator="containsText" text="OK">
      <formula>NOT(ISERROR(SEARCH("OK",D9)))</formula>
    </cfRule>
  </conditionalFormatting>
  <conditionalFormatting sqref="E20">
    <cfRule type="containsText" dxfId="8" priority="2" operator="containsText" text="OK">
      <formula>NOT(ISERROR(SEARCH("OK",E20)))</formula>
    </cfRule>
  </conditionalFormatting>
  <conditionalFormatting sqref="D8:D9 E20">
    <cfRule type="containsText" dxfId="7" priority="1" operator="containsText" text="NG">
      <formula>NOT(ISERROR(SEARCH("NG",D8)))</formula>
    </cfRule>
  </conditionalFormatting>
  <dataValidations count="7">
    <dataValidation type="list" allowBlank="1" showInputMessage="1" showErrorMessage="1" sqref="C4" xr:uid="{8716EC02-422D-4FC8-82CA-3D3E15C20A6B}">
      <formula1>$N$4:$N$11</formula1>
    </dataValidation>
    <dataValidation type="list" allowBlank="1" showInputMessage="1" showErrorMessage="1" sqref="C5" xr:uid="{802D64E4-4217-4AC2-B91F-7518CF58181B}">
      <formula1>INDIRECT($C$4 &amp; "!" &amp; "A8:A55")</formula1>
    </dataValidation>
    <dataValidation type="list" allowBlank="1" showInputMessage="1" showErrorMessage="1" sqref="G5" xr:uid="{0520E23F-789E-433D-9970-3BB35A779564}">
      <formula1>"SR,HR,LW,CF,HW"</formula1>
    </dataValidation>
    <dataValidation type="list" allowBlank="1" showInputMessage="1" showErrorMessage="1" sqref="G8" xr:uid="{FC5550DD-C371-44DE-9162-8E9AB9F41E47}">
      <formula1>"FF,FL,FP,FU,LL,LP,LU,PP,PU,UU"</formula1>
    </dataValidation>
    <dataValidation type="list" allowBlank="1" showInputMessage="1" showErrorMessage="1" sqref="J8" xr:uid="{8D08CD9B-CC3C-4839-8B5C-B30A926E3D06}">
      <formula1>"Within segment, At segment end"</formula1>
    </dataValidation>
    <dataValidation type="list" allowBlank="1" showInputMessage="1" showErrorMessage="1" sqref="J5" xr:uid="{6E482481-BBB3-4A59-B860-42497FBECF0E}">
      <formula1>"Shear centre, Top flange"</formula1>
    </dataValidation>
    <dataValidation type="list" allowBlank="1" showInputMessage="1" showErrorMessage="1" sqref="J3" xr:uid="{2FEB7FC3-CFB4-4070-9B66-35F0966D9093}">
      <formula1>"Any,None,One,Both"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C7E9-EF43-41BE-8D2D-713892902CE7}">
  <dimension ref="A1:V80"/>
  <sheetViews>
    <sheetView tabSelected="1" topLeftCell="A49" workbookViewId="0">
      <selection activeCell="L84" sqref="L84"/>
    </sheetView>
  </sheetViews>
  <sheetFormatPr defaultRowHeight="14.4"/>
  <cols>
    <col min="1" max="1" width="27.109375" style="74" customWidth="1"/>
    <col min="2" max="10" width="12.6640625" bestFit="1" customWidth="1"/>
    <col min="11" max="11" width="12.6640625" style="74" customWidth="1"/>
    <col min="12" max="15" width="13.6640625" bestFit="1" customWidth="1"/>
    <col min="16" max="16" width="13.6640625" style="74" customWidth="1"/>
    <col min="17" max="20" width="13.6640625" bestFit="1" customWidth="1"/>
    <col min="21" max="21" width="13.6640625" style="74" customWidth="1"/>
    <col min="22" max="22" width="13.6640625" bestFit="1" customWidth="1"/>
  </cols>
  <sheetData>
    <row r="1" spans="1:22" s="74" customFormat="1">
      <c r="B1" s="21"/>
      <c r="C1" s="22"/>
      <c r="D1" s="22" t="s">
        <v>362</v>
      </c>
      <c r="E1" s="22"/>
      <c r="F1" s="22"/>
      <c r="G1" s="22"/>
      <c r="H1" s="22" t="s">
        <v>361</v>
      </c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3"/>
    </row>
    <row r="2" spans="1:22" s="74" customFormat="1"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3"/>
    </row>
    <row r="3" spans="1:22" s="74" customFormat="1">
      <c r="B3" s="24" t="s">
        <v>7</v>
      </c>
      <c r="C3" s="24"/>
      <c r="D3" s="24"/>
      <c r="E3" s="24"/>
      <c r="F3" s="24"/>
      <c r="G3" s="57" t="s">
        <v>360</v>
      </c>
      <c r="H3" s="110" t="s">
        <v>195</v>
      </c>
      <c r="I3" s="110"/>
      <c r="J3" s="110"/>
      <c r="K3" s="112"/>
      <c r="L3" s="110"/>
      <c r="M3" s="110"/>
      <c r="N3" s="26"/>
      <c r="O3" s="110"/>
      <c r="P3" s="112"/>
      <c r="Q3" s="110"/>
      <c r="R3" s="110"/>
      <c r="S3" s="110"/>
      <c r="T3" s="110" t="s">
        <v>194</v>
      </c>
      <c r="U3" s="112"/>
      <c r="V3" s="27" t="s">
        <v>193</v>
      </c>
    </row>
    <row r="4" spans="1:22" s="74" customFormat="1">
      <c r="B4" s="107"/>
      <c r="C4" s="107"/>
      <c r="D4" s="107"/>
      <c r="E4" s="107"/>
      <c r="F4" s="107"/>
      <c r="G4" s="58" t="s">
        <v>359</v>
      </c>
      <c r="H4" s="67" t="s">
        <v>192</v>
      </c>
      <c r="I4" s="72" t="s">
        <v>16</v>
      </c>
      <c r="J4" s="72"/>
      <c r="K4" s="72"/>
      <c r="L4" s="72"/>
      <c r="M4" s="109"/>
      <c r="N4" s="72" t="s">
        <v>19</v>
      </c>
      <c r="O4" s="72"/>
      <c r="P4" s="72"/>
      <c r="Q4" s="72"/>
      <c r="R4" s="72"/>
      <c r="S4" s="72"/>
      <c r="T4" s="67" t="s">
        <v>191</v>
      </c>
      <c r="U4" s="67"/>
      <c r="V4" s="108" t="s">
        <v>191</v>
      </c>
    </row>
    <row r="5" spans="1:22" s="74" customFormat="1">
      <c r="B5" s="107"/>
      <c r="C5" s="107"/>
      <c r="D5" s="107"/>
      <c r="E5" s="107"/>
      <c r="F5" s="107"/>
      <c r="G5" s="58" t="s">
        <v>358</v>
      </c>
      <c r="H5" s="67" t="s">
        <v>190</v>
      </c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108"/>
    </row>
    <row r="6" spans="1:22" s="74" customFormat="1">
      <c r="B6" s="31" t="s">
        <v>118</v>
      </c>
      <c r="C6" s="31" t="s">
        <v>9</v>
      </c>
      <c r="D6" s="31" t="s">
        <v>10</v>
      </c>
      <c r="E6" s="31" t="s">
        <v>12</v>
      </c>
      <c r="F6" s="31" t="s">
        <v>13</v>
      </c>
      <c r="G6" s="59" t="s">
        <v>119</v>
      </c>
      <c r="H6" s="109"/>
      <c r="I6" s="109" t="s">
        <v>805</v>
      </c>
      <c r="J6" s="109" t="s">
        <v>804</v>
      </c>
      <c r="K6" s="111" t="s">
        <v>805</v>
      </c>
      <c r="L6" s="109" t="s">
        <v>806</v>
      </c>
      <c r="M6" s="109" t="s">
        <v>496</v>
      </c>
      <c r="N6" s="109" t="s">
        <v>885</v>
      </c>
      <c r="O6" s="109" t="s">
        <v>807</v>
      </c>
      <c r="P6" s="111" t="s">
        <v>17</v>
      </c>
      <c r="Q6" s="109" t="s">
        <v>494</v>
      </c>
      <c r="R6" s="109"/>
      <c r="S6" s="109" t="s">
        <v>130</v>
      </c>
      <c r="T6" s="109" t="s">
        <v>606</v>
      </c>
      <c r="U6" s="111" t="s">
        <v>107</v>
      </c>
      <c r="V6" s="41"/>
    </row>
    <row r="7" spans="1:22">
      <c r="B7" s="35" t="s">
        <v>132</v>
      </c>
      <c r="C7" s="35" t="s">
        <v>133</v>
      </c>
      <c r="D7" s="35" t="s">
        <v>584</v>
      </c>
      <c r="E7" s="35" t="s">
        <v>585</v>
      </c>
      <c r="F7" s="35" t="s">
        <v>586</v>
      </c>
      <c r="G7" s="60" t="s">
        <v>8</v>
      </c>
      <c r="H7" s="65" t="s">
        <v>134</v>
      </c>
      <c r="I7" s="65" t="s">
        <v>135</v>
      </c>
      <c r="J7" s="65" t="s">
        <v>136</v>
      </c>
      <c r="K7" s="65" t="s">
        <v>603</v>
      </c>
      <c r="L7" s="65" t="s">
        <v>587</v>
      </c>
      <c r="M7" s="65" t="s">
        <v>588</v>
      </c>
      <c r="N7" s="65" t="s">
        <v>589</v>
      </c>
      <c r="O7" s="65" t="s">
        <v>590</v>
      </c>
      <c r="P7" s="65" t="s">
        <v>808</v>
      </c>
      <c r="Q7" s="65" t="s">
        <v>591</v>
      </c>
      <c r="R7" s="65" t="s">
        <v>592</v>
      </c>
      <c r="S7" s="65" t="s">
        <v>593</v>
      </c>
      <c r="T7" s="65" t="s">
        <v>594</v>
      </c>
      <c r="U7" s="65" t="s">
        <v>809</v>
      </c>
      <c r="V7" s="42" t="s">
        <v>137</v>
      </c>
    </row>
    <row r="8" spans="1:22">
      <c r="A8" s="74" t="s">
        <v>812</v>
      </c>
      <c r="B8" s="74">
        <v>165.1</v>
      </c>
      <c r="C8" s="95" t="s">
        <v>491</v>
      </c>
      <c r="D8" s="74">
        <v>5.4</v>
      </c>
      <c r="E8" s="95" t="s">
        <v>410</v>
      </c>
      <c r="F8" s="74">
        <v>21.3</v>
      </c>
      <c r="G8" s="74">
        <v>0.51900000000000002</v>
      </c>
      <c r="H8" s="74">
        <v>24.4</v>
      </c>
      <c r="I8" s="74">
        <v>30.6</v>
      </c>
      <c r="J8" s="74">
        <v>2710</v>
      </c>
      <c r="K8" s="74">
        <v>8650000</v>
      </c>
      <c r="L8" s="74">
        <v>105000</v>
      </c>
      <c r="M8" s="74">
        <v>138000</v>
      </c>
      <c r="N8" s="74">
        <v>250</v>
      </c>
      <c r="O8" s="74">
        <v>56.5</v>
      </c>
      <c r="P8" s="74">
        <v>17300000</v>
      </c>
      <c r="Q8" s="74">
        <v>209000</v>
      </c>
      <c r="R8" s="74">
        <v>209</v>
      </c>
      <c r="S8" s="74">
        <v>1</v>
      </c>
      <c r="T8" s="95" t="s">
        <v>494</v>
      </c>
      <c r="U8" s="95">
        <v>138000</v>
      </c>
      <c r="V8" s="74">
        <v>138</v>
      </c>
    </row>
    <row r="9" spans="1:22">
      <c r="A9" s="74" t="s">
        <v>813</v>
      </c>
      <c r="B9" s="74">
        <v>165.1</v>
      </c>
      <c r="C9" s="95" t="s">
        <v>491</v>
      </c>
      <c r="D9" s="74">
        <v>5</v>
      </c>
      <c r="E9" s="95" t="s">
        <v>410</v>
      </c>
      <c r="F9" s="74">
        <v>19.7</v>
      </c>
      <c r="G9" s="74">
        <v>0.51900000000000002</v>
      </c>
      <c r="H9" s="74">
        <v>26.3</v>
      </c>
      <c r="I9" s="74">
        <v>33</v>
      </c>
      <c r="J9" s="74">
        <v>2510</v>
      </c>
      <c r="K9" s="74">
        <v>8070000</v>
      </c>
      <c r="L9" s="74">
        <v>97700</v>
      </c>
      <c r="M9" s="74">
        <v>128000</v>
      </c>
      <c r="N9" s="74">
        <v>250</v>
      </c>
      <c r="O9" s="74">
        <v>56.6</v>
      </c>
      <c r="P9" s="74">
        <v>16100000.000000002</v>
      </c>
      <c r="Q9" s="74">
        <v>195000</v>
      </c>
      <c r="R9" s="74">
        <v>195</v>
      </c>
      <c r="S9" s="74">
        <v>1</v>
      </c>
      <c r="T9" s="95" t="s">
        <v>494</v>
      </c>
      <c r="U9" s="95">
        <v>128000</v>
      </c>
      <c r="V9" s="74">
        <v>128</v>
      </c>
    </row>
    <row r="10" spans="1:22">
      <c r="A10" s="74" t="s">
        <v>814</v>
      </c>
      <c r="B10" s="74">
        <v>139.69999999999999</v>
      </c>
      <c r="C10" s="95" t="s">
        <v>491</v>
      </c>
      <c r="D10" s="74">
        <v>5.4</v>
      </c>
      <c r="E10" s="95" t="s">
        <v>410</v>
      </c>
      <c r="F10" s="74">
        <v>17.899999999999999</v>
      </c>
      <c r="G10" s="74">
        <v>0.439</v>
      </c>
      <c r="H10" s="74">
        <v>24.5</v>
      </c>
      <c r="I10" s="74">
        <v>25.9</v>
      </c>
      <c r="J10" s="74">
        <v>2280</v>
      </c>
      <c r="K10" s="74">
        <v>5140000</v>
      </c>
      <c r="L10" s="74">
        <v>73700</v>
      </c>
      <c r="M10" s="74">
        <v>97400</v>
      </c>
      <c r="N10" s="74">
        <v>250</v>
      </c>
      <c r="O10" s="74">
        <v>47.5</v>
      </c>
      <c r="P10" s="74">
        <v>10300000</v>
      </c>
      <c r="Q10" s="74">
        <v>147000</v>
      </c>
      <c r="R10" s="74">
        <v>147</v>
      </c>
      <c r="S10" s="74">
        <v>1</v>
      </c>
      <c r="T10" s="95" t="s">
        <v>494</v>
      </c>
      <c r="U10" s="95">
        <v>97400</v>
      </c>
      <c r="V10" s="74">
        <v>97.4</v>
      </c>
    </row>
    <row r="11" spans="1:22">
      <c r="A11" s="74" t="s">
        <v>815</v>
      </c>
      <c r="B11" s="74">
        <v>139.69999999999999</v>
      </c>
      <c r="C11" s="95" t="s">
        <v>491</v>
      </c>
      <c r="D11" s="74">
        <v>5</v>
      </c>
      <c r="E11" s="95" t="s">
        <v>410</v>
      </c>
      <c r="F11" s="74">
        <v>16.600000000000001</v>
      </c>
      <c r="G11" s="74">
        <v>0.439</v>
      </c>
      <c r="H11" s="74">
        <v>26.4</v>
      </c>
      <c r="I11" s="74">
        <v>27.9</v>
      </c>
      <c r="J11" s="74">
        <v>2120</v>
      </c>
      <c r="K11" s="74">
        <v>4810000</v>
      </c>
      <c r="L11" s="74">
        <v>68800</v>
      </c>
      <c r="M11" s="74">
        <v>90800</v>
      </c>
      <c r="N11" s="74">
        <v>250</v>
      </c>
      <c r="O11" s="74">
        <v>47.7</v>
      </c>
      <c r="P11" s="74">
        <v>9610000</v>
      </c>
      <c r="Q11" s="74">
        <v>138000</v>
      </c>
      <c r="R11" s="74">
        <v>138</v>
      </c>
      <c r="S11" s="74">
        <v>1</v>
      </c>
      <c r="T11" s="95" t="s">
        <v>494</v>
      </c>
      <c r="U11" s="95">
        <v>90800</v>
      </c>
      <c r="V11" s="74">
        <v>90.8</v>
      </c>
    </row>
    <row r="12" spans="1:22">
      <c r="A12" s="74" t="s">
        <v>816</v>
      </c>
      <c r="B12" s="74">
        <v>114.3</v>
      </c>
      <c r="C12" s="95" t="s">
        <v>491</v>
      </c>
      <c r="D12" s="74">
        <v>5.4</v>
      </c>
      <c r="E12" s="95" t="s">
        <v>410</v>
      </c>
      <c r="F12" s="74">
        <v>14.5</v>
      </c>
      <c r="G12" s="74">
        <v>0.35899999999999999</v>
      </c>
      <c r="H12" s="74">
        <v>24.8</v>
      </c>
      <c r="I12" s="74">
        <v>21.2</v>
      </c>
      <c r="J12" s="74">
        <v>1850</v>
      </c>
      <c r="K12" s="74">
        <v>2750000</v>
      </c>
      <c r="L12" s="74">
        <v>48000</v>
      </c>
      <c r="M12" s="74">
        <v>64099.999999999993</v>
      </c>
      <c r="N12" s="74">
        <v>250</v>
      </c>
      <c r="O12" s="74">
        <v>38.5</v>
      </c>
      <c r="P12" s="74">
        <v>5490000</v>
      </c>
      <c r="Q12" s="74">
        <v>96100</v>
      </c>
      <c r="R12" s="74">
        <v>96.1</v>
      </c>
      <c r="S12" s="74">
        <v>1</v>
      </c>
      <c r="T12" s="95" t="s">
        <v>494</v>
      </c>
      <c r="U12" s="95">
        <v>64099.999999999993</v>
      </c>
      <c r="V12" s="74">
        <v>64.099999999999994</v>
      </c>
    </row>
    <row r="13" spans="1:22">
      <c r="A13" s="74" t="s">
        <v>817</v>
      </c>
      <c r="B13" s="74">
        <v>114.3</v>
      </c>
      <c r="C13" s="95" t="s">
        <v>491</v>
      </c>
      <c r="D13" s="74">
        <v>4.5</v>
      </c>
      <c r="E13" s="95" t="s">
        <v>410</v>
      </c>
      <c r="F13" s="74">
        <v>12.2</v>
      </c>
      <c r="G13" s="74">
        <v>0.35899999999999999</v>
      </c>
      <c r="H13" s="74">
        <v>29.5</v>
      </c>
      <c r="I13" s="74">
        <v>25.4</v>
      </c>
      <c r="J13" s="74">
        <v>1550</v>
      </c>
      <c r="K13" s="74">
        <v>2340000</v>
      </c>
      <c r="L13" s="74">
        <v>41000</v>
      </c>
      <c r="M13" s="74">
        <v>54300</v>
      </c>
      <c r="N13" s="74">
        <v>250</v>
      </c>
      <c r="O13" s="74">
        <v>38.9</v>
      </c>
      <c r="P13" s="74">
        <v>4690000</v>
      </c>
      <c r="Q13" s="74">
        <v>82000</v>
      </c>
      <c r="R13" s="74">
        <v>82</v>
      </c>
      <c r="S13" s="74">
        <v>1</v>
      </c>
      <c r="T13" s="95" t="s">
        <v>494</v>
      </c>
      <c r="U13" s="95">
        <v>54300</v>
      </c>
      <c r="V13" s="74">
        <v>54.3</v>
      </c>
    </row>
    <row r="14" spans="1:22">
      <c r="A14" s="74" t="s">
        <v>818</v>
      </c>
      <c r="B14" s="74">
        <v>101.6</v>
      </c>
      <c r="C14" s="95" t="s">
        <v>491</v>
      </c>
      <c r="D14" s="74">
        <v>5</v>
      </c>
      <c r="E14" s="95" t="s">
        <v>410</v>
      </c>
      <c r="F14" s="74">
        <v>11.9</v>
      </c>
      <c r="G14" s="74">
        <v>0.31900000000000001</v>
      </c>
      <c r="H14" s="74">
        <v>26.8</v>
      </c>
      <c r="I14" s="74">
        <v>20.3</v>
      </c>
      <c r="J14" s="74">
        <v>1520</v>
      </c>
      <c r="K14" s="74">
        <v>1770000</v>
      </c>
      <c r="L14" s="74">
        <v>34900</v>
      </c>
      <c r="M14" s="74">
        <v>46700</v>
      </c>
      <c r="N14" s="74">
        <v>250</v>
      </c>
      <c r="O14" s="74">
        <v>34.200000000000003</v>
      </c>
      <c r="P14" s="74">
        <v>3550000</v>
      </c>
      <c r="Q14" s="74">
        <v>69900</v>
      </c>
      <c r="R14" s="74">
        <v>69.900000000000006</v>
      </c>
      <c r="S14" s="74">
        <v>1</v>
      </c>
      <c r="T14" s="95" t="s">
        <v>494</v>
      </c>
      <c r="U14" s="95">
        <v>46700</v>
      </c>
      <c r="V14" s="74">
        <v>46.7</v>
      </c>
    </row>
    <row r="15" spans="1:22">
      <c r="A15" s="74" t="s">
        <v>819</v>
      </c>
      <c r="B15" s="74">
        <v>101.6</v>
      </c>
      <c r="C15" s="95" t="s">
        <v>491</v>
      </c>
      <c r="D15" s="74">
        <v>4</v>
      </c>
      <c r="E15" s="95" t="s">
        <v>410</v>
      </c>
      <c r="F15" s="74">
        <v>9.6300000000000008</v>
      </c>
      <c r="G15" s="74">
        <v>0.31900000000000001</v>
      </c>
      <c r="H15" s="74">
        <v>33.200000000000003</v>
      </c>
      <c r="I15" s="74">
        <v>25.4</v>
      </c>
      <c r="J15" s="74">
        <v>1230</v>
      </c>
      <c r="K15" s="74">
        <v>1460000</v>
      </c>
      <c r="L15" s="74">
        <v>28800</v>
      </c>
      <c r="M15" s="74">
        <v>38100</v>
      </c>
      <c r="N15" s="74">
        <v>250</v>
      </c>
      <c r="O15" s="74">
        <v>34.5</v>
      </c>
      <c r="P15" s="74">
        <v>2930000</v>
      </c>
      <c r="Q15" s="74">
        <v>57600</v>
      </c>
      <c r="R15" s="74">
        <v>57.6</v>
      </c>
      <c r="S15" s="74">
        <v>1</v>
      </c>
      <c r="T15" s="95" t="s">
        <v>494</v>
      </c>
      <c r="U15" s="95">
        <v>38100</v>
      </c>
      <c r="V15" s="74">
        <v>38.1</v>
      </c>
    </row>
    <row r="16" spans="1:22">
      <c r="A16" s="74" t="s">
        <v>820</v>
      </c>
      <c r="B16" s="74">
        <v>88.9</v>
      </c>
      <c r="C16" s="95" t="s">
        <v>491</v>
      </c>
      <c r="D16" s="74">
        <v>5.9</v>
      </c>
      <c r="E16" s="95" t="s">
        <v>410</v>
      </c>
      <c r="F16" s="74">
        <v>12.1</v>
      </c>
      <c r="G16" s="74">
        <v>0.27900000000000003</v>
      </c>
      <c r="H16" s="74">
        <v>23.1</v>
      </c>
      <c r="I16" s="74">
        <v>15.1</v>
      </c>
      <c r="J16" s="74">
        <v>1540</v>
      </c>
      <c r="K16" s="74">
        <v>1330000</v>
      </c>
      <c r="L16" s="74">
        <v>30000</v>
      </c>
      <c r="M16" s="74">
        <v>40700</v>
      </c>
      <c r="N16" s="74">
        <v>250</v>
      </c>
      <c r="O16" s="74">
        <v>29.4</v>
      </c>
      <c r="P16" s="74">
        <v>2660000</v>
      </c>
      <c r="Q16" s="74">
        <v>59900</v>
      </c>
      <c r="R16" s="74">
        <v>59.9</v>
      </c>
      <c r="S16" s="74">
        <v>1</v>
      </c>
      <c r="T16" s="95" t="s">
        <v>494</v>
      </c>
      <c r="U16" s="95">
        <v>40700</v>
      </c>
      <c r="V16" s="74">
        <v>40.700000000000003</v>
      </c>
    </row>
    <row r="17" spans="1:22">
      <c r="A17" s="74" t="s">
        <v>821</v>
      </c>
      <c r="B17" s="74">
        <v>88.9</v>
      </c>
      <c r="C17" s="95" t="s">
        <v>491</v>
      </c>
      <c r="D17" s="74">
        <v>5</v>
      </c>
      <c r="E17" s="95" t="s">
        <v>410</v>
      </c>
      <c r="F17" s="74">
        <v>10.3</v>
      </c>
      <c r="G17" s="74">
        <v>0.27900000000000003</v>
      </c>
      <c r="H17" s="74">
        <v>27</v>
      </c>
      <c r="I17" s="74">
        <v>17.8</v>
      </c>
      <c r="J17" s="74">
        <v>1320</v>
      </c>
      <c r="K17" s="74">
        <v>1160000</v>
      </c>
      <c r="L17" s="74">
        <v>26200</v>
      </c>
      <c r="M17" s="74">
        <v>35200</v>
      </c>
      <c r="N17" s="74">
        <v>250</v>
      </c>
      <c r="O17" s="74">
        <v>29.7</v>
      </c>
      <c r="P17" s="74">
        <v>2330000</v>
      </c>
      <c r="Q17" s="74">
        <v>52400</v>
      </c>
      <c r="R17" s="74">
        <v>52.4</v>
      </c>
      <c r="S17" s="74">
        <v>1</v>
      </c>
      <c r="T17" s="95" t="s">
        <v>494</v>
      </c>
      <c r="U17" s="95">
        <v>35200</v>
      </c>
      <c r="V17" s="74">
        <v>35.200000000000003</v>
      </c>
    </row>
    <row r="18" spans="1:22">
      <c r="A18" s="74" t="s">
        <v>822</v>
      </c>
      <c r="B18" s="74">
        <v>88.9</v>
      </c>
      <c r="C18" s="95" t="s">
        <v>491</v>
      </c>
      <c r="D18" s="74">
        <v>4</v>
      </c>
      <c r="E18" s="95" t="s">
        <v>410</v>
      </c>
      <c r="F18" s="74">
        <v>8.3800000000000008</v>
      </c>
      <c r="G18" s="74">
        <v>0.27900000000000003</v>
      </c>
      <c r="H18" s="74">
        <v>33.299999999999997</v>
      </c>
      <c r="I18" s="74">
        <v>22.2</v>
      </c>
      <c r="J18" s="74">
        <v>1070</v>
      </c>
      <c r="K18" s="74">
        <v>963000</v>
      </c>
      <c r="L18" s="74">
        <v>21700</v>
      </c>
      <c r="M18" s="74">
        <v>28900</v>
      </c>
      <c r="N18" s="74">
        <v>250</v>
      </c>
      <c r="O18" s="74">
        <v>30</v>
      </c>
      <c r="P18" s="74">
        <v>1930000</v>
      </c>
      <c r="Q18" s="74">
        <v>43300</v>
      </c>
      <c r="R18" s="74">
        <v>43.3</v>
      </c>
      <c r="S18" s="74">
        <v>1</v>
      </c>
      <c r="T18" s="95" t="s">
        <v>494</v>
      </c>
      <c r="U18" s="95">
        <v>28900</v>
      </c>
      <c r="V18" s="74">
        <v>28.9</v>
      </c>
    </row>
    <row r="19" spans="1:22">
      <c r="A19" s="74" t="s">
        <v>823</v>
      </c>
      <c r="B19" s="74">
        <v>76.099999999999994</v>
      </c>
      <c r="C19" s="95" t="s">
        <v>491</v>
      </c>
      <c r="D19" s="74">
        <v>5.9</v>
      </c>
      <c r="E19" s="95" t="s">
        <v>410</v>
      </c>
      <c r="F19" s="74">
        <v>10.199999999999999</v>
      </c>
      <c r="G19" s="74">
        <v>0.23899999999999999</v>
      </c>
      <c r="H19" s="74">
        <v>23.4</v>
      </c>
      <c r="I19" s="74">
        <v>12.9</v>
      </c>
      <c r="J19" s="74">
        <v>1300</v>
      </c>
      <c r="K19" s="74">
        <v>807000</v>
      </c>
      <c r="L19" s="74">
        <v>21200</v>
      </c>
      <c r="M19" s="74">
        <v>29100</v>
      </c>
      <c r="N19" s="74">
        <v>250</v>
      </c>
      <c r="O19" s="74">
        <v>24.9</v>
      </c>
      <c r="P19" s="74">
        <v>1610000</v>
      </c>
      <c r="Q19" s="74">
        <v>42400</v>
      </c>
      <c r="R19" s="74">
        <v>42.4</v>
      </c>
      <c r="S19" s="74">
        <v>1</v>
      </c>
      <c r="T19" s="95" t="s">
        <v>494</v>
      </c>
      <c r="U19" s="95">
        <v>29100</v>
      </c>
      <c r="V19" s="74">
        <v>29.1</v>
      </c>
    </row>
    <row r="20" spans="1:22">
      <c r="A20" s="74" t="s">
        <v>824</v>
      </c>
      <c r="B20" s="74">
        <v>76.099999999999994</v>
      </c>
      <c r="C20" s="95" t="s">
        <v>491</v>
      </c>
      <c r="D20" s="74">
        <v>4.5</v>
      </c>
      <c r="E20" s="95" t="s">
        <v>410</v>
      </c>
      <c r="F20" s="74">
        <v>7.95</v>
      </c>
      <c r="G20" s="74">
        <v>0.23899999999999999</v>
      </c>
      <c r="H20" s="74">
        <v>30.1</v>
      </c>
      <c r="I20" s="74">
        <v>16.899999999999999</v>
      </c>
      <c r="J20" s="74">
        <v>1010</v>
      </c>
      <c r="K20" s="74">
        <v>651000</v>
      </c>
      <c r="L20" s="74">
        <v>17100</v>
      </c>
      <c r="M20" s="74">
        <v>23100</v>
      </c>
      <c r="N20" s="74">
        <v>250</v>
      </c>
      <c r="O20" s="74">
        <v>25.4</v>
      </c>
      <c r="P20" s="74">
        <v>1300000</v>
      </c>
      <c r="Q20" s="74">
        <v>34200</v>
      </c>
      <c r="R20" s="74">
        <v>34.200000000000003</v>
      </c>
      <c r="S20" s="74">
        <v>1</v>
      </c>
      <c r="T20" s="95" t="s">
        <v>494</v>
      </c>
      <c r="U20" s="95">
        <v>23100</v>
      </c>
      <c r="V20" s="74">
        <v>23.1</v>
      </c>
    </row>
    <row r="21" spans="1:22">
      <c r="A21" s="74" t="s">
        <v>825</v>
      </c>
      <c r="B21" s="74">
        <v>76.099999999999994</v>
      </c>
      <c r="C21" s="95" t="s">
        <v>491</v>
      </c>
      <c r="D21" s="74">
        <v>3.6</v>
      </c>
      <c r="E21" s="95" t="s">
        <v>410</v>
      </c>
      <c r="F21" s="74">
        <v>6.44</v>
      </c>
      <c r="G21" s="74">
        <v>0.23899999999999999</v>
      </c>
      <c r="H21" s="74">
        <v>37.1</v>
      </c>
      <c r="I21" s="74">
        <v>21.1</v>
      </c>
      <c r="J21" s="74">
        <v>820</v>
      </c>
      <c r="K21" s="74">
        <v>540000</v>
      </c>
      <c r="L21" s="74">
        <v>14200</v>
      </c>
      <c r="M21" s="74">
        <v>18900</v>
      </c>
      <c r="N21" s="74">
        <v>250</v>
      </c>
      <c r="O21" s="74">
        <v>25.7</v>
      </c>
      <c r="P21" s="74">
        <v>1080000</v>
      </c>
      <c r="Q21" s="74">
        <v>28400</v>
      </c>
      <c r="R21" s="74">
        <v>28.4</v>
      </c>
      <c r="S21" s="74">
        <v>1</v>
      </c>
      <c r="T21" s="95" t="s">
        <v>494</v>
      </c>
      <c r="U21" s="95">
        <v>18900</v>
      </c>
      <c r="V21" s="74">
        <v>18.899999999999999</v>
      </c>
    </row>
    <row r="22" spans="1:22">
      <c r="A22" s="74" t="s">
        <v>826</v>
      </c>
      <c r="B22" s="74">
        <v>60.3</v>
      </c>
      <c r="C22" s="95" t="s">
        <v>491</v>
      </c>
      <c r="D22" s="74">
        <v>5.4</v>
      </c>
      <c r="E22" s="95" t="s">
        <v>410</v>
      </c>
      <c r="F22" s="74">
        <v>7.31</v>
      </c>
      <c r="G22" s="74">
        <v>0.189</v>
      </c>
      <c r="H22" s="74">
        <v>25.9</v>
      </c>
      <c r="I22" s="74">
        <v>11.2</v>
      </c>
      <c r="J22" s="74">
        <v>931</v>
      </c>
      <c r="K22" s="74">
        <v>354000</v>
      </c>
      <c r="L22" s="74">
        <v>11800</v>
      </c>
      <c r="M22" s="74">
        <v>16300</v>
      </c>
      <c r="N22" s="74">
        <v>250</v>
      </c>
      <c r="O22" s="74">
        <v>19.5</v>
      </c>
      <c r="P22" s="74">
        <v>709000</v>
      </c>
      <c r="Q22" s="74">
        <v>23500</v>
      </c>
      <c r="R22" s="74">
        <v>23.5</v>
      </c>
      <c r="S22" s="74">
        <v>1</v>
      </c>
      <c r="T22" s="95" t="s">
        <v>494</v>
      </c>
      <c r="U22" s="95">
        <v>16300</v>
      </c>
      <c r="V22" s="74">
        <v>16.3</v>
      </c>
    </row>
    <row r="23" spans="1:22">
      <c r="A23" s="74" t="s">
        <v>827</v>
      </c>
      <c r="B23" s="74">
        <v>60.3</v>
      </c>
      <c r="C23" s="95" t="s">
        <v>491</v>
      </c>
      <c r="D23" s="74">
        <v>4.5</v>
      </c>
      <c r="E23" s="95" t="s">
        <v>410</v>
      </c>
      <c r="F23" s="74">
        <v>6.19</v>
      </c>
      <c r="G23" s="74">
        <v>0.189</v>
      </c>
      <c r="H23" s="74">
        <v>30.6</v>
      </c>
      <c r="I23" s="74">
        <v>13.4</v>
      </c>
      <c r="J23" s="74">
        <v>789</v>
      </c>
      <c r="K23" s="74">
        <v>309000</v>
      </c>
      <c r="L23" s="74">
        <v>10200</v>
      </c>
      <c r="M23" s="74">
        <v>14000</v>
      </c>
      <c r="N23" s="74">
        <v>250</v>
      </c>
      <c r="O23" s="74">
        <v>19.8</v>
      </c>
      <c r="P23" s="74">
        <v>618000</v>
      </c>
      <c r="Q23" s="74">
        <v>20500</v>
      </c>
      <c r="R23" s="74">
        <v>20.5</v>
      </c>
      <c r="S23" s="74">
        <v>1</v>
      </c>
      <c r="T23" s="95" t="s">
        <v>494</v>
      </c>
      <c r="U23" s="95">
        <v>14000</v>
      </c>
      <c r="V23" s="74">
        <v>14</v>
      </c>
    </row>
    <row r="24" spans="1:22">
      <c r="A24" s="74" t="s">
        <v>828</v>
      </c>
      <c r="B24" s="74">
        <v>60.3</v>
      </c>
      <c r="C24" s="95" t="s">
        <v>491</v>
      </c>
      <c r="D24" s="74">
        <v>3.6</v>
      </c>
      <c r="E24" s="95" t="s">
        <v>410</v>
      </c>
      <c r="F24" s="74">
        <v>5.03</v>
      </c>
      <c r="G24" s="74">
        <v>0.189</v>
      </c>
      <c r="H24" s="74">
        <v>37.6</v>
      </c>
      <c r="I24" s="74">
        <v>16.8</v>
      </c>
      <c r="J24" s="74">
        <v>641</v>
      </c>
      <c r="K24" s="74">
        <v>259000</v>
      </c>
      <c r="L24" s="74">
        <v>8580</v>
      </c>
      <c r="M24" s="74">
        <v>11600</v>
      </c>
      <c r="N24" s="74">
        <v>250</v>
      </c>
      <c r="O24" s="74">
        <v>20.100000000000001</v>
      </c>
      <c r="P24" s="74">
        <v>517000</v>
      </c>
      <c r="Q24" s="74">
        <v>17200</v>
      </c>
      <c r="R24" s="74">
        <v>17.2</v>
      </c>
      <c r="S24" s="74">
        <v>1</v>
      </c>
      <c r="T24" s="95" t="s">
        <v>494</v>
      </c>
      <c r="U24" s="95">
        <v>11600</v>
      </c>
      <c r="V24" s="74">
        <v>11.6</v>
      </c>
    </row>
    <row r="25" spans="1:22">
      <c r="A25" s="74" t="s">
        <v>829</v>
      </c>
      <c r="B25" s="74">
        <v>48.3</v>
      </c>
      <c r="C25" s="95" t="s">
        <v>491</v>
      </c>
      <c r="D25" s="74">
        <v>4</v>
      </c>
      <c r="E25" s="95" t="s">
        <v>410</v>
      </c>
      <c r="F25" s="74">
        <v>4.37</v>
      </c>
      <c r="G25" s="74">
        <v>0.152</v>
      </c>
      <c r="H25" s="74">
        <v>34.700000000000003</v>
      </c>
      <c r="I25" s="74">
        <v>12.1</v>
      </c>
      <c r="J25" s="74">
        <v>557</v>
      </c>
      <c r="K25" s="74">
        <v>138000</v>
      </c>
      <c r="L25" s="74">
        <v>5700</v>
      </c>
      <c r="M25" s="74">
        <v>7870</v>
      </c>
      <c r="N25" s="74">
        <v>250</v>
      </c>
      <c r="O25" s="74">
        <v>15.7</v>
      </c>
      <c r="P25" s="74">
        <v>275000</v>
      </c>
      <c r="Q25" s="74">
        <v>11400</v>
      </c>
      <c r="R25" s="74">
        <v>11.4</v>
      </c>
      <c r="S25" s="74">
        <v>1</v>
      </c>
      <c r="T25" s="95" t="s">
        <v>494</v>
      </c>
      <c r="U25" s="95">
        <v>7870</v>
      </c>
      <c r="V25" s="74">
        <v>7.87</v>
      </c>
    </row>
    <row r="26" spans="1:22">
      <c r="A26" s="74" t="s">
        <v>830</v>
      </c>
      <c r="B26" s="74">
        <v>48.3</v>
      </c>
      <c r="C26" s="95" t="s">
        <v>491</v>
      </c>
      <c r="D26" s="74">
        <v>3.2</v>
      </c>
      <c r="E26" s="95" t="s">
        <v>410</v>
      </c>
      <c r="F26" s="74">
        <v>3.56</v>
      </c>
      <c r="G26" s="74">
        <v>0.152</v>
      </c>
      <c r="H26" s="74">
        <v>42.6</v>
      </c>
      <c r="I26" s="74">
        <v>15.1</v>
      </c>
      <c r="J26" s="74">
        <v>453</v>
      </c>
      <c r="K26" s="74">
        <v>116000</v>
      </c>
      <c r="L26" s="74">
        <v>4800</v>
      </c>
      <c r="M26" s="74">
        <v>6520</v>
      </c>
      <c r="N26" s="74">
        <v>250</v>
      </c>
      <c r="O26" s="74">
        <v>16</v>
      </c>
      <c r="P26" s="74">
        <v>232000</v>
      </c>
      <c r="Q26" s="74">
        <v>9590</v>
      </c>
      <c r="R26" s="74">
        <v>9.59</v>
      </c>
      <c r="S26" s="74">
        <v>1</v>
      </c>
      <c r="T26" s="95" t="s">
        <v>494</v>
      </c>
      <c r="U26" s="95">
        <v>6520</v>
      </c>
      <c r="V26" s="74">
        <v>6.52</v>
      </c>
    </row>
    <row r="27" spans="1:22">
      <c r="A27" s="74" t="s">
        <v>831</v>
      </c>
      <c r="B27" s="74">
        <v>42.4</v>
      </c>
      <c r="C27" s="95" t="s">
        <v>491</v>
      </c>
      <c r="D27" s="74">
        <v>4</v>
      </c>
      <c r="E27" s="95" t="s">
        <v>410</v>
      </c>
      <c r="F27" s="74">
        <v>3.79</v>
      </c>
      <c r="G27" s="74">
        <v>0.13300000000000001</v>
      </c>
      <c r="H27" s="74">
        <v>35.200000000000003</v>
      </c>
      <c r="I27" s="74">
        <v>10.6</v>
      </c>
      <c r="J27" s="74">
        <v>483</v>
      </c>
      <c r="K27" s="74">
        <v>89900</v>
      </c>
      <c r="L27" s="74">
        <v>4240</v>
      </c>
      <c r="M27" s="74">
        <v>5920</v>
      </c>
      <c r="N27" s="74">
        <v>250</v>
      </c>
      <c r="O27" s="74">
        <v>13.6</v>
      </c>
      <c r="P27" s="74">
        <v>180000</v>
      </c>
      <c r="Q27" s="74">
        <v>8480</v>
      </c>
      <c r="R27" s="74">
        <v>8.48</v>
      </c>
      <c r="S27" s="74">
        <v>1</v>
      </c>
      <c r="T27" s="95" t="s">
        <v>494</v>
      </c>
      <c r="U27" s="95">
        <v>5920</v>
      </c>
      <c r="V27" s="74">
        <v>5.92</v>
      </c>
    </row>
    <row r="28" spans="1:22">
      <c r="A28" s="74" t="s">
        <v>832</v>
      </c>
      <c r="B28" s="74">
        <v>42.4</v>
      </c>
      <c r="C28" s="95" t="s">
        <v>491</v>
      </c>
      <c r="D28" s="74">
        <v>3.2</v>
      </c>
      <c r="E28" s="95" t="s">
        <v>410</v>
      </c>
      <c r="F28" s="74">
        <v>3.09</v>
      </c>
      <c r="G28" s="74">
        <v>0.13300000000000001</v>
      </c>
      <c r="H28" s="74">
        <v>43.1</v>
      </c>
      <c r="I28" s="74">
        <v>13.3</v>
      </c>
      <c r="J28" s="74">
        <v>394</v>
      </c>
      <c r="K28" s="74">
        <v>76200</v>
      </c>
      <c r="L28" s="74">
        <v>3590</v>
      </c>
      <c r="M28" s="74">
        <v>4930</v>
      </c>
      <c r="N28" s="74">
        <v>250</v>
      </c>
      <c r="O28" s="74">
        <v>13.9</v>
      </c>
      <c r="P28" s="74">
        <v>152000</v>
      </c>
      <c r="Q28" s="74">
        <v>7190</v>
      </c>
      <c r="R28" s="74">
        <v>7.19</v>
      </c>
      <c r="S28" s="74">
        <v>1</v>
      </c>
      <c r="T28" s="95" t="s">
        <v>494</v>
      </c>
      <c r="U28" s="95">
        <v>4930</v>
      </c>
      <c r="V28" s="74">
        <v>4.93</v>
      </c>
    </row>
    <row r="29" spans="1:22">
      <c r="A29" s="74" t="s">
        <v>833</v>
      </c>
      <c r="B29" s="74">
        <v>33.700000000000003</v>
      </c>
      <c r="C29" s="95" t="s">
        <v>491</v>
      </c>
      <c r="D29" s="74">
        <v>4</v>
      </c>
      <c r="E29" s="95" t="s">
        <v>410</v>
      </c>
      <c r="F29" s="74">
        <v>2.93</v>
      </c>
      <c r="G29" s="74">
        <v>0.106</v>
      </c>
      <c r="H29" s="74">
        <v>36.1</v>
      </c>
      <c r="I29" s="74">
        <v>8.43</v>
      </c>
      <c r="J29" s="74">
        <v>373</v>
      </c>
      <c r="K29" s="74">
        <v>41900</v>
      </c>
      <c r="L29" s="74">
        <v>2490</v>
      </c>
      <c r="M29" s="74">
        <v>3550</v>
      </c>
      <c r="N29" s="74">
        <v>250</v>
      </c>
      <c r="O29" s="74">
        <v>10.6</v>
      </c>
      <c r="P29" s="74">
        <v>83800</v>
      </c>
      <c r="Q29" s="74">
        <v>4970</v>
      </c>
      <c r="R29" s="74">
        <v>4.97</v>
      </c>
      <c r="S29" s="74">
        <v>1</v>
      </c>
      <c r="T29" s="95" t="s">
        <v>494</v>
      </c>
      <c r="U29" s="95">
        <v>3550</v>
      </c>
      <c r="V29" s="74">
        <v>3.55</v>
      </c>
    </row>
    <row r="30" spans="1:22">
      <c r="A30" s="74" t="s">
        <v>834</v>
      </c>
      <c r="B30" s="74">
        <v>33.700000000000003</v>
      </c>
      <c r="C30" s="95" t="s">
        <v>491</v>
      </c>
      <c r="D30" s="74">
        <v>3.2</v>
      </c>
      <c r="E30" s="95" t="s">
        <v>410</v>
      </c>
      <c r="F30" s="74">
        <v>2.41</v>
      </c>
      <c r="G30" s="74">
        <v>0.106</v>
      </c>
      <c r="H30" s="74">
        <v>44</v>
      </c>
      <c r="I30" s="74">
        <v>10.5</v>
      </c>
      <c r="J30" s="74">
        <v>307</v>
      </c>
      <c r="K30" s="74">
        <v>36000</v>
      </c>
      <c r="L30" s="74">
        <v>2140</v>
      </c>
      <c r="M30" s="74">
        <v>2990</v>
      </c>
      <c r="N30" s="74">
        <v>250</v>
      </c>
      <c r="O30" s="74">
        <v>10.8</v>
      </c>
      <c r="P30" s="74">
        <v>72100</v>
      </c>
      <c r="Q30" s="74">
        <v>4280</v>
      </c>
      <c r="R30" s="74">
        <v>4.28</v>
      </c>
      <c r="S30" s="74">
        <v>1</v>
      </c>
      <c r="T30" s="95" t="s">
        <v>494</v>
      </c>
      <c r="U30" s="95">
        <v>2990</v>
      </c>
      <c r="V30" s="74">
        <v>2.99</v>
      </c>
    </row>
    <row r="31" spans="1:22">
      <c r="A31" s="74" t="s">
        <v>835</v>
      </c>
      <c r="B31" s="74">
        <v>26.9</v>
      </c>
      <c r="C31" s="95" t="s">
        <v>491</v>
      </c>
      <c r="D31" s="74">
        <v>4</v>
      </c>
      <c r="E31" s="95" t="s">
        <v>410</v>
      </c>
      <c r="F31" s="74">
        <v>2.2599999999999998</v>
      </c>
      <c r="G31" s="74">
        <v>8.4500000000000006E-2</v>
      </c>
      <c r="H31" s="74">
        <v>37.4</v>
      </c>
      <c r="I31" s="74">
        <v>6.73</v>
      </c>
      <c r="J31" s="74">
        <v>288</v>
      </c>
      <c r="K31" s="74">
        <v>19400</v>
      </c>
      <c r="L31" s="74">
        <v>1450</v>
      </c>
      <c r="M31" s="74">
        <v>2120</v>
      </c>
      <c r="N31" s="74">
        <v>250</v>
      </c>
      <c r="O31" s="74">
        <v>8.2200000000000006</v>
      </c>
      <c r="P31" s="74">
        <v>38900</v>
      </c>
      <c r="Q31" s="74">
        <v>2890</v>
      </c>
      <c r="R31" s="74">
        <v>2.89</v>
      </c>
      <c r="S31" s="74">
        <v>1</v>
      </c>
      <c r="T31" s="95" t="s">
        <v>494</v>
      </c>
      <c r="U31" s="95">
        <v>2120</v>
      </c>
      <c r="V31" s="74">
        <v>2.12</v>
      </c>
    </row>
    <row r="32" spans="1:22">
      <c r="A32" s="74" t="s">
        <v>836</v>
      </c>
      <c r="B32" s="74">
        <v>26.9</v>
      </c>
      <c r="C32" s="95" t="s">
        <v>491</v>
      </c>
      <c r="D32" s="74">
        <v>3.2</v>
      </c>
      <c r="E32" s="95" t="s">
        <v>410</v>
      </c>
      <c r="F32" s="74">
        <v>1.87</v>
      </c>
      <c r="G32" s="74">
        <v>8.4500000000000006E-2</v>
      </c>
      <c r="H32" s="74">
        <v>45.2</v>
      </c>
      <c r="I32" s="74">
        <v>8.41</v>
      </c>
      <c r="J32" s="74">
        <v>238</v>
      </c>
      <c r="K32" s="74">
        <v>17000</v>
      </c>
      <c r="L32" s="74">
        <v>1270</v>
      </c>
      <c r="M32" s="74">
        <v>1810</v>
      </c>
      <c r="N32" s="74">
        <v>250</v>
      </c>
      <c r="O32" s="74">
        <v>8.4600000000000009</v>
      </c>
      <c r="P32" s="74">
        <v>34100</v>
      </c>
      <c r="Q32" s="74">
        <v>2530</v>
      </c>
      <c r="R32" s="74">
        <v>2.5299999999999998</v>
      </c>
      <c r="S32" s="74">
        <v>1</v>
      </c>
      <c r="T32" s="95" t="s">
        <v>494</v>
      </c>
      <c r="U32" s="95">
        <v>1810</v>
      </c>
      <c r="V32" s="74">
        <v>1.81</v>
      </c>
    </row>
    <row r="33" spans="1:22">
      <c r="A33" s="74" t="s">
        <v>837</v>
      </c>
      <c r="B33" s="74">
        <v>26.9</v>
      </c>
      <c r="C33" s="95" t="s">
        <v>491</v>
      </c>
      <c r="D33" s="74">
        <v>2.6</v>
      </c>
      <c r="E33" s="95" t="s">
        <v>410</v>
      </c>
      <c r="F33" s="74">
        <v>1.56</v>
      </c>
      <c r="G33" s="74">
        <v>8.4500000000000006E-2</v>
      </c>
      <c r="H33" s="74">
        <v>54.2</v>
      </c>
      <c r="I33" s="74">
        <v>10.3</v>
      </c>
      <c r="J33" s="74">
        <v>198</v>
      </c>
      <c r="K33" s="74">
        <v>14800</v>
      </c>
      <c r="L33" s="74">
        <v>1100</v>
      </c>
      <c r="M33" s="74">
        <v>1540</v>
      </c>
      <c r="N33" s="74">
        <v>250</v>
      </c>
      <c r="O33" s="74">
        <v>8.64</v>
      </c>
      <c r="P33" s="74">
        <v>29600</v>
      </c>
      <c r="Q33" s="74">
        <v>2200</v>
      </c>
      <c r="R33" s="74">
        <v>2.2000000000000002</v>
      </c>
      <c r="S33" s="74">
        <v>1</v>
      </c>
      <c r="T33" s="95" t="s">
        <v>494</v>
      </c>
      <c r="U33" s="95">
        <v>1540</v>
      </c>
      <c r="V33" s="74">
        <v>1.54</v>
      </c>
    </row>
    <row r="34" spans="1:22">
      <c r="A34" s="74" t="s">
        <v>838</v>
      </c>
      <c r="B34" s="74">
        <v>508</v>
      </c>
      <c r="C34" s="95" t="s">
        <v>491</v>
      </c>
      <c r="D34" s="74">
        <v>12.7</v>
      </c>
      <c r="E34" s="95" t="s">
        <v>410</v>
      </c>
      <c r="F34" s="74">
        <v>155</v>
      </c>
      <c r="G34" s="74">
        <v>1.6</v>
      </c>
      <c r="H34" s="74">
        <v>10.3</v>
      </c>
      <c r="I34" s="74">
        <v>40</v>
      </c>
      <c r="J34" s="74">
        <v>19800</v>
      </c>
      <c r="K34" s="74">
        <v>606000000</v>
      </c>
      <c r="L34" s="74">
        <v>2390000</v>
      </c>
      <c r="M34" s="74">
        <v>3120000</v>
      </c>
      <c r="N34" s="74">
        <v>350</v>
      </c>
      <c r="O34" s="74">
        <v>175</v>
      </c>
      <c r="P34" s="74">
        <v>1210000000</v>
      </c>
      <c r="Q34" s="74">
        <v>4770000</v>
      </c>
      <c r="R34" s="74">
        <v>4770</v>
      </c>
      <c r="S34" s="74">
        <v>1</v>
      </c>
      <c r="T34" s="95" t="s">
        <v>495</v>
      </c>
      <c r="U34" s="95">
        <v>3050000</v>
      </c>
      <c r="V34" s="74">
        <v>3050</v>
      </c>
    </row>
    <row r="35" spans="1:22">
      <c r="A35" s="74" t="s">
        <v>839</v>
      </c>
      <c r="B35" s="74">
        <v>508</v>
      </c>
      <c r="C35" s="95" t="s">
        <v>491</v>
      </c>
      <c r="D35" s="74">
        <v>9.5</v>
      </c>
      <c r="E35" s="95" t="s">
        <v>410</v>
      </c>
      <c r="F35" s="74">
        <v>117</v>
      </c>
      <c r="G35" s="74">
        <v>1.6</v>
      </c>
      <c r="H35" s="74">
        <v>13.7</v>
      </c>
      <c r="I35" s="74">
        <v>53.5</v>
      </c>
      <c r="J35" s="74">
        <v>14900</v>
      </c>
      <c r="K35" s="74">
        <v>462000000</v>
      </c>
      <c r="L35" s="74">
        <v>1820000</v>
      </c>
      <c r="M35" s="74">
        <v>2360000</v>
      </c>
      <c r="N35" s="74">
        <v>350</v>
      </c>
      <c r="O35" s="74">
        <v>176</v>
      </c>
      <c r="P35" s="74">
        <v>925000000</v>
      </c>
      <c r="Q35" s="74">
        <v>3640000</v>
      </c>
      <c r="R35" s="74">
        <v>3640</v>
      </c>
      <c r="S35" s="74">
        <v>1</v>
      </c>
      <c r="T35" s="95" t="s">
        <v>495</v>
      </c>
      <c r="U35" s="95">
        <v>2170000</v>
      </c>
      <c r="V35" s="74">
        <v>2170</v>
      </c>
    </row>
    <row r="36" spans="1:22">
      <c r="A36" s="74" t="s">
        <v>840</v>
      </c>
      <c r="B36" s="74">
        <v>508</v>
      </c>
      <c r="C36" s="95" t="s">
        <v>491</v>
      </c>
      <c r="D36" s="74">
        <v>6.4</v>
      </c>
      <c r="E36" s="95" t="s">
        <v>410</v>
      </c>
      <c r="F36" s="74">
        <v>79.2</v>
      </c>
      <c r="G36" s="74">
        <v>1.6</v>
      </c>
      <c r="H36" s="74">
        <v>20.2</v>
      </c>
      <c r="I36" s="74">
        <v>79.400000000000006</v>
      </c>
      <c r="J36" s="74">
        <v>10100</v>
      </c>
      <c r="K36" s="74">
        <v>317000000</v>
      </c>
      <c r="L36" s="74">
        <v>1250000</v>
      </c>
      <c r="M36" s="74">
        <v>1610000</v>
      </c>
      <c r="N36" s="74">
        <v>350</v>
      </c>
      <c r="O36" s="74">
        <v>177</v>
      </c>
      <c r="P36" s="74">
        <v>634000000</v>
      </c>
      <c r="Q36" s="74">
        <v>2500000</v>
      </c>
      <c r="R36" s="74">
        <v>2500</v>
      </c>
      <c r="S36" s="74">
        <v>0.85699999999999998</v>
      </c>
      <c r="T36" s="95" t="s">
        <v>495</v>
      </c>
      <c r="U36" s="95">
        <v>1290000</v>
      </c>
      <c r="V36" s="74">
        <v>1290</v>
      </c>
    </row>
    <row r="37" spans="1:22">
      <c r="A37" s="74" t="s">
        <v>841</v>
      </c>
      <c r="B37" s="74">
        <v>457</v>
      </c>
      <c r="C37" s="95" t="s">
        <v>491</v>
      </c>
      <c r="D37" s="74">
        <v>12.7</v>
      </c>
      <c r="E37" s="95" t="s">
        <v>410</v>
      </c>
      <c r="F37" s="74">
        <v>139</v>
      </c>
      <c r="G37" s="74">
        <v>1.44</v>
      </c>
      <c r="H37" s="74">
        <v>10.3</v>
      </c>
      <c r="I37" s="74">
        <v>36</v>
      </c>
      <c r="J37" s="74">
        <v>17700</v>
      </c>
      <c r="K37" s="74">
        <v>438000000</v>
      </c>
      <c r="L37" s="74">
        <v>1920000</v>
      </c>
      <c r="M37" s="74">
        <v>2510000</v>
      </c>
      <c r="N37" s="74">
        <v>350</v>
      </c>
      <c r="O37" s="74">
        <v>157</v>
      </c>
      <c r="P37" s="74">
        <v>876000000</v>
      </c>
      <c r="Q37" s="74">
        <v>3830000</v>
      </c>
      <c r="R37" s="74">
        <v>3830</v>
      </c>
      <c r="S37" s="74">
        <v>1</v>
      </c>
      <c r="T37" s="95" t="s">
        <v>495</v>
      </c>
      <c r="U37" s="95">
        <v>2500000</v>
      </c>
      <c r="V37" s="74">
        <v>2500</v>
      </c>
    </row>
    <row r="38" spans="1:22">
      <c r="A38" s="74" t="s">
        <v>842</v>
      </c>
      <c r="B38" s="74">
        <v>457</v>
      </c>
      <c r="C38" s="95" t="s">
        <v>491</v>
      </c>
      <c r="D38" s="74">
        <v>9.5</v>
      </c>
      <c r="E38" s="95" t="s">
        <v>410</v>
      </c>
      <c r="F38" s="74">
        <v>105</v>
      </c>
      <c r="G38" s="74">
        <v>1.44</v>
      </c>
      <c r="H38" s="74">
        <v>13.7</v>
      </c>
      <c r="I38" s="74">
        <v>48.1</v>
      </c>
      <c r="J38" s="74">
        <v>13400</v>
      </c>
      <c r="K38" s="74">
        <v>334000000</v>
      </c>
      <c r="L38" s="74">
        <v>1460000</v>
      </c>
      <c r="M38" s="74">
        <v>1900000</v>
      </c>
      <c r="N38" s="74">
        <v>350</v>
      </c>
      <c r="O38" s="74">
        <v>158</v>
      </c>
      <c r="P38" s="74">
        <v>669000000</v>
      </c>
      <c r="Q38" s="74">
        <v>2930000</v>
      </c>
      <c r="R38" s="74">
        <v>2930</v>
      </c>
      <c r="S38" s="74">
        <v>1</v>
      </c>
      <c r="T38" s="95" t="s">
        <v>495</v>
      </c>
      <c r="U38" s="95">
        <v>1790000</v>
      </c>
      <c r="V38" s="74">
        <v>1790</v>
      </c>
    </row>
    <row r="39" spans="1:22">
      <c r="A39" s="74" t="s">
        <v>843</v>
      </c>
      <c r="B39" s="74">
        <v>457</v>
      </c>
      <c r="C39" s="95" t="s">
        <v>491</v>
      </c>
      <c r="D39" s="74">
        <v>6.4</v>
      </c>
      <c r="E39" s="95" t="s">
        <v>410</v>
      </c>
      <c r="F39" s="74">
        <v>71.099999999999994</v>
      </c>
      <c r="G39" s="74">
        <v>1.44</v>
      </c>
      <c r="H39" s="74">
        <v>20.2</v>
      </c>
      <c r="I39" s="74">
        <v>71.400000000000006</v>
      </c>
      <c r="J39" s="74">
        <v>9060</v>
      </c>
      <c r="K39" s="74">
        <v>230000000</v>
      </c>
      <c r="L39" s="74">
        <v>1010000</v>
      </c>
      <c r="M39" s="74">
        <v>1300000</v>
      </c>
      <c r="N39" s="74">
        <v>350</v>
      </c>
      <c r="O39" s="74">
        <v>159</v>
      </c>
      <c r="P39" s="74">
        <v>460000000</v>
      </c>
      <c r="Q39" s="74">
        <v>2010000</v>
      </c>
      <c r="R39" s="74">
        <v>2010</v>
      </c>
      <c r="S39" s="74">
        <v>0.90400000000000003</v>
      </c>
      <c r="T39" s="95" t="s">
        <v>495</v>
      </c>
      <c r="U39" s="95">
        <v>1090000</v>
      </c>
      <c r="V39" s="74">
        <v>1090</v>
      </c>
    </row>
    <row r="40" spans="1:22">
      <c r="A40" s="74" t="s">
        <v>844</v>
      </c>
      <c r="B40" s="74">
        <v>406.4</v>
      </c>
      <c r="C40" s="95" t="s">
        <v>491</v>
      </c>
      <c r="D40" s="74">
        <v>12.7</v>
      </c>
      <c r="E40" s="95" t="s">
        <v>410</v>
      </c>
      <c r="F40" s="74">
        <v>123</v>
      </c>
      <c r="G40" s="74">
        <v>1.28</v>
      </c>
      <c r="H40" s="74">
        <v>10.4</v>
      </c>
      <c r="I40" s="74">
        <v>32</v>
      </c>
      <c r="J40" s="74">
        <v>15700</v>
      </c>
      <c r="K40" s="74">
        <v>305000000</v>
      </c>
      <c r="L40" s="74">
        <v>1500000</v>
      </c>
      <c r="M40" s="74">
        <v>1970000</v>
      </c>
      <c r="N40" s="74">
        <v>350</v>
      </c>
      <c r="O40" s="74">
        <v>139</v>
      </c>
      <c r="P40" s="74">
        <v>609000000</v>
      </c>
      <c r="Q40" s="74">
        <v>3000000</v>
      </c>
      <c r="R40" s="74">
        <v>3000</v>
      </c>
      <c r="S40" s="74">
        <v>1</v>
      </c>
      <c r="T40" s="95" t="s">
        <v>494</v>
      </c>
      <c r="U40" s="95">
        <v>1970000</v>
      </c>
      <c r="V40" s="74">
        <v>1970</v>
      </c>
    </row>
    <row r="41" spans="1:22">
      <c r="A41" s="74" t="s">
        <v>845</v>
      </c>
      <c r="B41" s="74">
        <v>406.4</v>
      </c>
      <c r="C41" s="95" t="s">
        <v>491</v>
      </c>
      <c r="D41" s="74">
        <v>9.5</v>
      </c>
      <c r="E41" s="95" t="s">
        <v>410</v>
      </c>
      <c r="F41" s="74">
        <v>93</v>
      </c>
      <c r="G41" s="74">
        <v>1.28</v>
      </c>
      <c r="H41" s="74">
        <v>13.7</v>
      </c>
      <c r="I41" s="74">
        <v>42.8</v>
      </c>
      <c r="J41" s="74">
        <v>11800</v>
      </c>
      <c r="K41" s="74">
        <v>233000000</v>
      </c>
      <c r="L41" s="74">
        <v>1150000</v>
      </c>
      <c r="M41" s="74">
        <v>1500000</v>
      </c>
      <c r="N41" s="74">
        <v>350</v>
      </c>
      <c r="O41" s="74">
        <v>140</v>
      </c>
      <c r="P41" s="74">
        <v>467000000</v>
      </c>
      <c r="Q41" s="74">
        <v>2300000</v>
      </c>
      <c r="R41" s="74">
        <v>2300</v>
      </c>
      <c r="S41" s="74">
        <v>1</v>
      </c>
      <c r="T41" s="95" t="s">
        <v>495</v>
      </c>
      <c r="U41" s="95">
        <v>1450000</v>
      </c>
      <c r="V41" s="74">
        <v>1450</v>
      </c>
    </row>
    <row r="42" spans="1:22">
      <c r="A42" s="74" t="s">
        <v>846</v>
      </c>
      <c r="B42" s="74">
        <v>406.4</v>
      </c>
      <c r="C42" s="95" t="s">
        <v>491</v>
      </c>
      <c r="D42" s="74">
        <v>6.4</v>
      </c>
      <c r="E42" s="95" t="s">
        <v>410</v>
      </c>
      <c r="F42" s="74">
        <v>63.1</v>
      </c>
      <c r="G42" s="74">
        <v>1.28</v>
      </c>
      <c r="H42" s="74">
        <v>20.2</v>
      </c>
      <c r="I42" s="74">
        <v>63.5</v>
      </c>
      <c r="J42" s="74">
        <v>8040</v>
      </c>
      <c r="K42" s="74">
        <v>161000000</v>
      </c>
      <c r="L42" s="74">
        <v>792000</v>
      </c>
      <c r="M42" s="74">
        <v>1020000</v>
      </c>
      <c r="N42" s="74">
        <v>350</v>
      </c>
      <c r="O42" s="74">
        <v>141</v>
      </c>
      <c r="P42" s="74">
        <v>322000000</v>
      </c>
      <c r="Q42" s="74">
        <v>1580000</v>
      </c>
      <c r="R42" s="74">
        <v>1580</v>
      </c>
      <c r="S42" s="74">
        <v>0.96</v>
      </c>
      <c r="T42" s="95" t="s">
        <v>495</v>
      </c>
      <c r="U42" s="95">
        <v>895000</v>
      </c>
      <c r="V42" s="74">
        <v>895</v>
      </c>
    </row>
    <row r="43" spans="1:22">
      <c r="A43" s="74" t="s">
        <v>847</v>
      </c>
      <c r="B43" s="74">
        <v>355.6</v>
      </c>
      <c r="C43" s="95" t="s">
        <v>491</v>
      </c>
      <c r="D43" s="74">
        <v>12.7</v>
      </c>
      <c r="E43" s="95" t="s">
        <v>410</v>
      </c>
      <c r="F43" s="74">
        <v>107</v>
      </c>
      <c r="G43" s="74">
        <v>1.1200000000000001</v>
      </c>
      <c r="H43" s="74">
        <v>10.4</v>
      </c>
      <c r="I43" s="74">
        <v>28</v>
      </c>
      <c r="J43" s="74">
        <v>13700</v>
      </c>
      <c r="K43" s="74">
        <v>201000000</v>
      </c>
      <c r="L43" s="74">
        <v>1130000</v>
      </c>
      <c r="M43" s="74">
        <v>1490000</v>
      </c>
      <c r="N43" s="74">
        <v>350</v>
      </c>
      <c r="O43" s="74">
        <v>121</v>
      </c>
      <c r="P43" s="74">
        <v>403000000</v>
      </c>
      <c r="Q43" s="74">
        <v>2260000</v>
      </c>
      <c r="R43" s="74">
        <v>2260</v>
      </c>
      <c r="S43" s="74">
        <v>1</v>
      </c>
      <c r="T43" s="95" t="s">
        <v>494</v>
      </c>
      <c r="U43" s="95">
        <v>1490000</v>
      </c>
      <c r="V43" s="74">
        <v>1490</v>
      </c>
    </row>
    <row r="44" spans="1:22">
      <c r="A44" s="74" t="s">
        <v>848</v>
      </c>
      <c r="B44" s="74">
        <v>355.6</v>
      </c>
      <c r="C44" s="95" t="s">
        <v>491</v>
      </c>
      <c r="D44" s="74">
        <v>9.5</v>
      </c>
      <c r="E44" s="95" t="s">
        <v>410</v>
      </c>
      <c r="F44" s="74">
        <v>81.099999999999994</v>
      </c>
      <c r="G44" s="74">
        <v>1.1200000000000001</v>
      </c>
      <c r="H44" s="74">
        <v>13.8</v>
      </c>
      <c r="I44" s="74">
        <v>37.4</v>
      </c>
      <c r="J44" s="74">
        <v>10300</v>
      </c>
      <c r="K44" s="74">
        <v>155000000</v>
      </c>
      <c r="L44" s="74">
        <v>871000</v>
      </c>
      <c r="M44" s="74">
        <v>1140000</v>
      </c>
      <c r="N44" s="74">
        <v>350</v>
      </c>
      <c r="O44" s="74">
        <v>122</v>
      </c>
      <c r="P44" s="74">
        <v>310000000</v>
      </c>
      <c r="Q44" s="74">
        <v>1740000</v>
      </c>
      <c r="R44" s="74">
        <v>1740</v>
      </c>
      <c r="S44" s="74">
        <v>1</v>
      </c>
      <c r="T44" s="95" t="s">
        <v>495</v>
      </c>
      <c r="U44" s="95">
        <v>1130000</v>
      </c>
      <c r="V44" s="74">
        <v>1130</v>
      </c>
    </row>
    <row r="45" spans="1:22">
      <c r="A45" s="74" t="s">
        <v>849</v>
      </c>
      <c r="B45" s="74">
        <v>355.6</v>
      </c>
      <c r="C45" s="95" t="s">
        <v>491</v>
      </c>
      <c r="D45" s="74">
        <v>6.4</v>
      </c>
      <c r="E45" s="95" t="s">
        <v>410</v>
      </c>
      <c r="F45" s="74">
        <v>55.1</v>
      </c>
      <c r="G45" s="74">
        <v>1.1200000000000001</v>
      </c>
      <c r="H45" s="74">
        <v>20.3</v>
      </c>
      <c r="I45" s="74">
        <v>55.6</v>
      </c>
      <c r="J45" s="74">
        <v>7020</v>
      </c>
      <c r="K45" s="74">
        <v>107000000</v>
      </c>
      <c r="L45" s="74">
        <v>602000</v>
      </c>
      <c r="M45" s="74">
        <v>781000</v>
      </c>
      <c r="N45" s="74">
        <v>350</v>
      </c>
      <c r="O45" s="74">
        <v>123</v>
      </c>
      <c r="P45" s="74">
        <v>214000000</v>
      </c>
      <c r="Q45" s="74">
        <v>1200000</v>
      </c>
      <c r="R45" s="74">
        <v>1200</v>
      </c>
      <c r="S45" s="74">
        <v>1</v>
      </c>
      <c r="T45" s="95" t="s">
        <v>495</v>
      </c>
      <c r="U45" s="95">
        <v>710000</v>
      </c>
      <c r="V45" s="74">
        <v>710</v>
      </c>
    </row>
    <row r="46" spans="1:22">
      <c r="A46" s="74" t="s">
        <v>850</v>
      </c>
      <c r="B46" s="74">
        <v>323.89999999999998</v>
      </c>
      <c r="C46" s="95" t="s">
        <v>491</v>
      </c>
      <c r="D46" s="74">
        <v>12.7</v>
      </c>
      <c r="E46" s="95" t="s">
        <v>410</v>
      </c>
      <c r="F46" s="74">
        <v>97.5</v>
      </c>
      <c r="G46" s="74">
        <v>1.02</v>
      </c>
      <c r="H46" s="74">
        <v>10.4</v>
      </c>
      <c r="I46" s="74">
        <v>25.5</v>
      </c>
      <c r="J46" s="74">
        <v>12400</v>
      </c>
      <c r="K46" s="74">
        <v>151000000</v>
      </c>
      <c r="L46" s="74">
        <v>930000</v>
      </c>
      <c r="M46" s="74">
        <v>1230000</v>
      </c>
      <c r="N46" s="74">
        <v>350</v>
      </c>
      <c r="O46" s="74">
        <v>110</v>
      </c>
      <c r="P46" s="74">
        <v>301000000</v>
      </c>
      <c r="Q46" s="74">
        <v>1860000</v>
      </c>
      <c r="R46" s="74">
        <v>1860</v>
      </c>
      <c r="S46" s="74">
        <v>1</v>
      </c>
      <c r="T46" s="95" t="s">
        <v>494</v>
      </c>
      <c r="U46" s="95">
        <v>1230000</v>
      </c>
      <c r="V46" s="74">
        <v>1230</v>
      </c>
    </row>
    <row r="47" spans="1:22">
      <c r="A47" s="74" t="s">
        <v>851</v>
      </c>
      <c r="B47" s="74">
        <v>323.89999999999998</v>
      </c>
      <c r="C47" s="95" t="s">
        <v>491</v>
      </c>
      <c r="D47" s="74">
        <v>9.5</v>
      </c>
      <c r="E47" s="95" t="s">
        <v>410</v>
      </c>
      <c r="F47" s="74">
        <v>73.7</v>
      </c>
      <c r="G47" s="74">
        <v>1.02</v>
      </c>
      <c r="H47" s="74">
        <v>13.8</v>
      </c>
      <c r="I47" s="74">
        <v>34.1</v>
      </c>
      <c r="J47" s="74">
        <v>9380</v>
      </c>
      <c r="K47" s="74">
        <v>116000000</v>
      </c>
      <c r="L47" s="74">
        <v>717000</v>
      </c>
      <c r="M47" s="74">
        <v>939000</v>
      </c>
      <c r="N47" s="74">
        <v>350</v>
      </c>
      <c r="O47" s="74">
        <v>111</v>
      </c>
      <c r="P47" s="74">
        <v>232000000</v>
      </c>
      <c r="Q47" s="74">
        <v>1430000</v>
      </c>
      <c r="R47" s="74">
        <v>1430</v>
      </c>
      <c r="S47" s="74">
        <v>1</v>
      </c>
      <c r="T47" s="95" t="s">
        <v>494</v>
      </c>
      <c r="U47" s="95">
        <v>939000</v>
      </c>
      <c r="V47" s="74">
        <v>939</v>
      </c>
    </row>
    <row r="48" spans="1:22">
      <c r="A48" s="74" t="s">
        <v>852</v>
      </c>
      <c r="B48" s="74">
        <v>323.89999999999998</v>
      </c>
      <c r="C48" s="95" t="s">
        <v>491</v>
      </c>
      <c r="D48" s="74">
        <v>6.4</v>
      </c>
      <c r="E48" s="95" t="s">
        <v>410</v>
      </c>
      <c r="F48" s="74">
        <v>50.1</v>
      </c>
      <c r="G48" s="74">
        <v>1.02</v>
      </c>
      <c r="H48" s="74">
        <v>20.3</v>
      </c>
      <c r="I48" s="74">
        <v>50.6</v>
      </c>
      <c r="J48" s="74">
        <v>6380</v>
      </c>
      <c r="K48" s="74">
        <v>80500000</v>
      </c>
      <c r="L48" s="74">
        <v>497000</v>
      </c>
      <c r="M48" s="74">
        <v>645000</v>
      </c>
      <c r="N48" s="74">
        <v>350</v>
      </c>
      <c r="O48" s="74">
        <v>112</v>
      </c>
      <c r="P48" s="74">
        <v>161000000</v>
      </c>
      <c r="Q48" s="74">
        <v>994000</v>
      </c>
      <c r="R48" s="74">
        <v>994</v>
      </c>
      <c r="S48" s="74">
        <v>1</v>
      </c>
      <c r="T48" s="95" t="s">
        <v>495</v>
      </c>
      <c r="U48" s="95">
        <v>601000</v>
      </c>
      <c r="V48" s="74">
        <v>601</v>
      </c>
    </row>
    <row r="49" spans="1:22">
      <c r="A49" s="74" t="s">
        <v>853</v>
      </c>
      <c r="B49" s="74">
        <v>273.10000000000002</v>
      </c>
      <c r="C49" s="95" t="s">
        <v>491</v>
      </c>
      <c r="D49" s="74">
        <v>12.7</v>
      </c>
      <c r="E49" s="95" t="s">
        <v>410</v>
      </c>
      <c r="F49" s="74">
        <v>81.599999999999994</v>
      </c>
      <c r="G49" s="74">
        <v>0.85799999999999998</v>
      </c>
      <c r="H49" s="74">
        <v>10.5</v>
      </c>
      <c r="I49" s="74">
        <v>21.5</v>
      </c>
      <c r="J49" s="74">
        <v>10400</v>
      </c>
      <c r="K49" s="74">
        <v>88300000</v>
      </c>
      <c r="L49" s="74">
        <v>646000</v>
      </c>
      <c r="M49" s="74">
        <v>862000</v>
      </c>
      <c r="N49" s="74">
        <v>350</v>
      </c>
      <c r="O49" s="74">
        <v>92.2</v>
      </c>
      <c r="P49" s="74">
        <v>177000000</v>
      </c>
      <c r="Q49" s="74">
        <v>1290000</v>
      </c>
      <c r="R49" s="74">
        <v>1290</v>
      </c>
      <c r="S49" s="74">
        <v>1</v>
      </c>
      <c r="T49" s="95" t="s">
        <v>494</v>
      </c>
      <c r="U49" s="95">
        <v>862000</v>
      </c>
      <c r="V49" s="74">
        <v>862</v>
      </c>
    </row>
    <row r="50" spans="1:22">
      <c r="A50" s="74" t="s">
        <v>854</v>
      </c>
      <c r="B50" s="74">
        <v>273.10000000000002</v>
      </c>
      <c r="C50" s="95" t="s">
        <v>491</v>
      </c>
      <c r="D50" s="74">
        <v>9.3000000000000007</v>
      </c>
      <c r="E50" s="95" t="s">
        <v>410</v>
      </c>
      <c r="F50" s="74">
        <v>60.5</v>
      </c>
      <c r="G50" s="74">
        <v>0.85799999999999998</v>
      </c>
      <c r="H50" s="74">
        <v>14.2</v>
      </c>
      <c r="I50" s="74">
        <v>29.4</v>
      </c>
      <c r="J50" s="74">
        <v>7710</v>
      </c>
      <c r="K50" s="74">
        <v>67099999.999999993</v>
      </c>
      <c r="L50" s="74">
        <v>492000</v>
      </c>
      <c r="M50" s="74">
        <v>647000</v>
      </c>
      <c r="N50" s="74">
        <v>350</v>
      </c>
      <c r="O50" s="74">
        <v>93.3</v>
      </c>
      <c r="P50" s="74">
        <v>134000000</v>
      </c>
      <c r="Q50" s="74">
        <v>983000</v>
      </c>
      <c r="R50" s="74">
        <v>983</v>
      </c>
      <c r="S50" s="74">
        <v>1</v>
      </c>
      <c r="T50" s="95" t="s">
        <v>494</v>
      </c>
      <c r="U50" s="95">
        <v>647000</v>
      </c>
      <c r="V50" s="74">
        <v>647</v>
      </c>
    </row>
    <row r="51" spans="1:22">
      <c r="A51" s="74" t="s">
        <v>855</v>
      </c>
      <c r="B51" s="74">
        <v>273.10000000000002</v>
      </c>
      <c r="C51" s="95" t="s">
        <v>491</v>
      </c>
      <c r="D51" s="74">
        <v>6.4</v>
      </c>
      <c r="E51" s="95" t="s">
        <v>410</v>
      </c>
      <c r="F51" s="74">
        <v>42.1</v>
      </c>
      <c r="G51" s="74">
        <v>0.85799999999999998</v>
      </c>
      <c r="H51" s="74">
        <v>20.399999999999999</v>
      </c>
      <c r="I51" s="74">
        <v>42.7</v>
      </c>
      <c r="J51" s="74">
        <v>5360</v>
      </c>
      <c r="K51" s="74">
        <v>47700000</v>
      </c>
      <c r="L51" s="74">
        <v>349000</v>
      </c>
      <c r="M51" s="74">
        <v>455000</v>
      </c>
      <c r="N51" s="74">
        <v>350</v>
      </c>
      <c r="O51" s="74">
        <v>94.3</v>
      </c>
      <c r="P51" s="74">
        <v>95400000</v>
      </c>
      <c r="Q51" s="74">
        <v>699000</v>
      </c>
      <c r="R51" s="74">
        <v>699</v>
      </c>
      <c r="S51" s="74">
        <v>1</v>
      </c>
      <c r="T51" s="95" t="s">
        <v>495</v>
      </c>
      <c r="U51" s="95">
        <v>441000</v>
      </c>
      <c r="V51" s="74">
        <v>441</v>
      </c>
    </row>
    <row r="52" spans="1:22">
      <c r="A52" s="74" t="s">
        <v>856</v>
      </c>
      <c r="B52" s="74">
        <v>273.10000000000002</v>
      </c>
      <c r="C52" s="95" t="s">
        <v>491</v>
      </c>
      <c r="D52" s="74">
        <v>4.8</v>
      </c>
      <c r="E52" s="95" t="s">
        <v>410</v>
      </c>
      <c r="F52" s="74">
        <v>31.8</v>
      </c>
      <c r="G52" s="74">
        <v>0.85799999999999998</v>
      </c>
      <c r="H52" s="74">
        <v>27</v>
      </c>
      <c r="I52" s="74">
        <v>56.9</v>
      </c>
      <c r="J52" s="74">
        <v>4050</v>
      </c>
      <c r="K52" s="74">
        <v>36400000</v>
      </c>
      <c r="L52" s="74">
        <v>267000</v>
      </c>
      <c r="M52" s="74">
        <v>346000</v>
      </c>
      <c r="N52" s="74">
        <v>350</v>
      </c>
      <c r="O52" s="74">
        <v>94.9</v>
      </c>
      <c r="P52" s="74">
        <v>72800000</v>
      </c>
      <c r="Q52" s="74">
        <v>533000</v>
      </c>
      <c r="R52" s="74">
        <v>533</v>
      </c>
      <c r="S52" s="74">
        <v>1</v>
      </c>
      <c r="T52" s="95" t="s">
        <v>495</v>
      </c>
      <c r="U52" s="95">
        <v>312000</v>
      </c>
      <c r="V52" s="74">
        <v>312</v>
      </c>
    </row>
    <row r="53" spans="1:22">
      <c r="A53" s="74" t="s">
        <v>857</v>
      </c>
      <c r="B53" s="74">
        <v>219.1</v>
      </c>
      <c r="C53" s="95" t="s">
        <v>491</v>
      </c>
      <c r="D53" s="74">
        <v>8.1999999999999993</v>
      </c>
      <c r="E53" s="95" t="s">
        <v>410</v>
      </c>
      <c r="F53" s="74">
        <v>42.6</v>
      </c>
      <c r="G53" s="74">
        <v>0.68799999999999994</v>
      </c>
      <c r="H53" s="74">
        <v>16.100000000000001</v>
      </c>
      <c r="I53" s="74">
        <v>26.7</v>
      </c>
      <c r="J53" s="74">
        <v>5430</v>
      </c>
      <c r="K53" s="74">
        <v>30300000</v>
      </c>
      <c r="L53" s="74">
        <v>276000</v>
      </c>
      <c r="M53" s="74">
        <v>365000</v>
      </c>
      <c r="N53" s="74">
        <v>350</v>
      </c>
      <c r="O53" s="74">
        <v>74.599999999999994</v>
      </c>
      <c r="P53" s="74">
        <v>60500000</v>
      </c>
      <c r="Q53" s="74">
        <v>552000</v>
      </c>
      <c r="R53" s="74">
        <v>552</v>
      </c>
      <c r="S53" s="74">
        <v>1</v>
      </c>
      <c r="T53" s="95" t="s">
        <v>494</v>
      </c>
      <c r="U53" s="95">
        <v>365000</v>
      </c>
      <c r="V53" s="74">
        <v>365</v>
      </c>
    </row>
    <row r="54" spans="1:22">
      <c r="A54" s="74" t="s">
        <v>858</v>
      </c>
      <c r="B54" s="74">
        <v>219.1</v>
      </c>
      <c r="C54" s="95" t="s">
        <v>491</v>
      </c>
      <c r="D54" s="74">
        <v>6.4</v>
      </c>
      <c r="E54" s="95" t="s">
        <v>410</v>
      </c>
      <c r="F54" s="74">
        <v>33.6</v>
      </c>
      <c r="G54" s="74">
        <v>0.68799999999999994</v>
      </c>
      <c r="H54" s="74">
        <v>20.5</v>
      </c>
      <c r="I54" s="74">
        <v>34.200000000000003</v>
      </c>
      <c r="J54" s="74">
        <v>4280</v>
      </c>
      <c r="K54" s="74">
        <v>24200000</v>
      </c>
      <c r="L54" s="74">
        <v>221000</v>
      </c>
      <c r="M54" s="74">
        <v>290000</v>
      </c>
      <c r="N54" s="74">
        <v>350</v>
      </c>
      <c r="O54" s="74">
        <v>75.2</v>
      </c>
      <c r="P54" s="74">
        <v>48400000</v>
      </c>
      <c r="Q54" s="74">
        <v>442000</v>
      </c>
      <c r="R54" s="74">
        <v>442</v>
      </c>
      <c r="S54" s="74">
        <v>1</v>
      </c>
      <c r="T54" s="95" t="s">
        <v>494</v>
      </c>
      <c r="U54" s="95">
        <v>290000</v>
      </c>
      <c r="V54" s="74">
        <v>290</v>
      </c>
    </row>
    <row r="55" spans="1:22">
      <c r="A55" s="74" t="s">
        <v>859</v>
      </c>
      <c r="B55" s="74">
        <v>219.1</v>
      </c>
      <c r="C55" s="95" t="s">
        <v>491</v>
      </c>
      <c r="D55" s="74">
        <v>4.8</v>
      </c>
      <c r="E55" s="95" t="s">
        <v>410</v>
      </c>
      <c r="F55" s="74">
        <v>25.4</v>
      </c>
      <c r="G55" s="74">
        <v>0.68799999999999994</v>
      </c>
      <c r="H55" s="74">
        <v>27.1</v>
      </c>
      <c r="I55" s="74">
        <v>45.6</v>
      </c>
      <c r="J55" s="74">
        <v>3230</v>
      </c>
      <c r="K55" s="74">
        <v>18600000</v>
      </c>
      <c r="L55" s="74">
        <v>169000</v>
      </c>
      <c r="M55" s="74">
        <v>220000</v>
      </c>
      <c r="N55" s="74">
        <v>350</v>
      </c>
      <c r="O55" s="74">
        <v>75.8</v>
      </c>
      <c r="P55" s="74">
        <v>37100000</v>
      </c>
      <c r="Q55" s="74">
        <v>339000</v>
      </c>
      <c r="R55" s="74">
        <v>339</v>
      </c>
      <c r="S55" s="74">
        <v>1</v>
      </c>
      <c r="T55" s="95" t="s">
        <v>495</v>
      </c>
      <c r="U55" s="95">
        <v>210000</v>
      </c>
      <c r="V55" s="74">
        <v>210</v>
      </c>
    </row>
    <row r="56" spans="1:22">
      <c r="A56" s="74" t="s">
        <v>860</v>
      </c>
      <c r="B56" s="74">
        <v>168.3</v>
      </c>
      <c r="C56" s="95" t="s">
        <v>491</v>
      </c>
      <c r="D56" s="74">
        <v>7.1</v>
      </c>
      <c r="E56" s="95" t="s">
        <v>410</v>
      </c>
      <c r="F56" s="74">
        <v>28.2</v>
      </c>
      <c r="G56" s="74">
        <v>0.52900000000000003</v>
      </c>
      <c r="H56" s="74">
        <v>18.7</v>
      </c>
      <c r="I56" s="74">
        <v>23.7</v>
      </c>
      <c r="J56" s="74">
        <v>3600</v>
      </c>
      <c r="K56" s="74">
        <v>11700000</v>
      </c>
      <c r="L56" s="74">
        <v>139000</v>
      </c>
      <c r="M56" s="74">
        <v>185000</v>
      </c>
      <c r="N56" s="74">
        <v>350</v>
      </c>
      <c r="O56" s="74">
        <v>57</v>
      </c>
      <c r="P56" s="74">
        <v>23400000</v>
      </c>
      <c r="Q56" s="74">
        <v>278000</v>
      </c>
      <c r="R56" s="74">
        <v>278</v>
      </c>
      <c r="S56" s="74">
        <v>1</v>
      </c>
      <c r="T56" s="95" t="s">
        <v>494</v>
      </c>
      <c r="U56" s="95">
        <v>185000</v>
      </c>
      <c r="V56" s="74">
        <v>185</v>
      </c>
    </row>
    <row r="57" spans="1:22">
      <c r="A57" s="74" t="s">
        <v>861</v>
      </c>
      <c r="B57" s="74">
        <v>168.3</v>
      </c>
      <c r="C57" s="95" t="s">
        <v>491</v>
      </c>
      <c r="D57" s="74">
        <v>6.4</v>
      </c>
      <c r="E57" s="95" t="s">
        <v>410</v>
      </c>
      <c r="F57" s="74">
        <v>25.6</v>
      </c>
      <c r="G57" s="74">
        <v>0.52900000000000003</v>
      </c>
      <c r="H57" s="74">
        <v>20.7</v>
      </c>
      <c r="I57" s="74">
        <v>26.3</v>
      </c>
      <c r="J57" s="74">
        <v>3260</v>
      </c>
      <c r="K57" s="74">
        <v>10700000</v>
      </c>
      <c r="L57" s="74">
        <v>127000</v>
      </c>
      <c r="M57" s="74">
        <v>168000</v>
      </c>
      <c r="N57" s="74">
        <v>350</v>
      </c>
      <c r="O57" s="74">
        <v>57.3</v>
      </c>
      <c r="P57" s="74">
        <v>21400000</v>
      </c>
      <c r="Q57" s="74">
        <v>254000</v>
      </c>
      <c r="R57" s="74">
        <v>254</v>
      </c>
      <c r="S57" s="74">
        <v>1</v>
      </c>
      <c r="T57" s="95" t="s">
        <v>494</v>
      </c>
      <c r="U57" s="95">
        <v>168000</v>
      </c>
      <c r="V57" s="74">
        <v>168</v>
      </c>
    </row>
    <row r="58" spans="1:22">
      <c r="A58" s="74" t="s">
        <v>862</v>
      </c>
      <c r="B58" s="74">
        <v>168.3</v>
      </c>
      <c r="C58" s="95" t="s">
        <v>491</v>
      </c>
      <c r="D58" s="74">
        <v>4.8</v>
      </c>
      <c r="E58" s="95" t="s">
        <v>410</v>
      </c>
      <c r="F58" s="74">
        <v>19.399999999999999</v>
      </c>
      <c r="G58" s="74">
        <v>0.52900000000000003</v>
      </c>
      <c r="H58" s="74">
        <v>27.3</v>
      </c>
      <c r="I58" s="74">
        <v>35.1</v>
      </c>
      <c r="J58" s="74">
        <v>2470</v>
      </c>
      <c r="K58" s="74">
        <v>8250000</v>
      </c>
      <c r="L58" s="74">
        <v>98000</v>
      </c>
      <c r="M58" s="74">
        <v>128000</v>
      </c>
      <c r="N58" s="74">
        <v>350</v>
      </c>
      <c r="O58" s="74">
        <v>57.8</v>
      </c>
      <c r="P58" s="74">
        <v>16500000</v>
      </c>
      <c r="Q58" s="74">
        <v>196000</v>
      </c>
      <c r="R58" s="74">
        <v>196</v>
      </c>
      <c r="S58" s="74">
        <v>1</v>
      </c>
      <c r="T58" s="95" t="s">
        <v>494</v>
      </c>
      <c r="U58" s="95">
        <v>128000</v>
      </c>
      <c r="V58" s="74">
        <v>128</v>
      </c>
    </row>
    <row r="59" spans="1:22">
      <c r="A59" s="74" t="s">
        <v>863</v>
      </c>
      <c r="B59" s="74">
        <v>165.1</v>
      </c>
      <c r="C59" s="95" t="s">
        <v>491</v>
      </c>
      <c r="D59" s="74">
        <v>3.5</v>
      </c>
      <c r="E59" s="95" t="s">
        <v>410</v>
      </c>
      <c r="F59" s="74">
        <v>13.9</v>
      </c>
      <c r="G59" s="74">
        <v>0.51900000000000002</v>
      </c>
      <c r="H59" s="74">
        <v>37.200000000000003</v>
      </c>
      <c r="I59" s="74">
        <v>47.2</v>
      </c>
      <c r="J59" s="74">
        <v>1780</v>
      </c>
      <c r="K59" s="74">
        <v>5800000</v>
      </c>
      <c r="L59" s="74">
        <v>70300</v>
      </c>
      <c r="M59" s="74">
        <v>91400</v>
      </c>
      <c r="N59" s="74">
        <v>350</v>
      </c>
      <c r="O59" s="74">
        <v>57.1</v>
      </c>
      <c r="P59" s="74">
        <v>11600000</v>
      </c>
      <c r="Q59" s="74">
        <v>141000</v>
      </c>
      <c r="R59" s="74">
        <v>141</v>
      </c>
      <c r="S59" s="74">
        <v>1</v>
      </c>
      <c r="T59" s="95" t="s">
        <v>495</v>
      </c>
      <c r="U59" s="95">
        <v>86600</v>
      </c>
      <c r="V59" s="74">
        <v>86.6</v>
      </c>
    </row>
    <row r="60" spans="1:22">
      <c r="A60" s="74" t="s">
        <v>864</v>
      </c>
      <c r="B60" s="74">
        <v>165.1</v>
      </c>
      <c r="C60" s="95" t="s">
        <v>491</v>
      </c>
      <c r="D60" s="74">
        <v>3</v>
      </c>
      <c r="E60" s="95" t="s">
        <v>410</v>
      </c>
      <c r="F60" s="74">
        <v>12</v>
      </c>
      <c r="G60" s="74">
        <v>0.51900000000000002</v>
      </c>
      <c r="H60" s="74">
        <v>43.2</v>
      </c>
      <c r="I60" s="74">
        <v>55</v>
      </c>
      <c r="J60" s="74">
        <v>1530</v>
      </c>
      <c r="K60" s="74">
        <v>5020000</v>
      </c>
      <c r="L60" s="74">
        <v>60800</v>
      </c>
      <c r="M60" s="74">
        <v>78800</v>
      </c>
      <c r="N60" s="74">
        <v>350</v>
      </c>
      <c r="O60" s="74">
        <v>57.3</v>
      </c>
      <c r="P60" s="74">
        <v>10000000</v>
      </c>
      <c r="Q60" s="74">
        <v>122000</v>
      </c>
      <c r="R60" s="74">
        <v>122</v>
      </c>
      <c r="S60" s="74">
        <v>1</v>
      </c>
      <c r="T60" s="95" t="s">
        <v>495</v>
      </c>
      <c r="U60" s="95">
        <v>71900</v>
      </c>
      <c r="V60" s="74">
        <v>71.900000000000006</v>
      </c>
    </row>
    <row r="61" spans="1:22">
      <c r="A61" s="74" t="s">
        <v>865</v>
      </c>
      <c r="B61" s="74">
        <v>139.69999999999999</v>
      </c>
      <c r="C61" s="95" t="s">
        <v>491</v>
      </c>
      <c r="D61" s="74">
        <v>3.5</v>
      </c>
      <c r="E61" s="95" t="s">
        <v>410</v>
      </c>
      <c r="F61" s="74">
        <v>11.8</v>
      </c>
      <c r="G61" s="74">
        <v>0.439</v>
      </c>
      <c r="H61" s="74">
        <v>37.299999999999997</v>
      </c>
      <c r="I61" s="74">
        <v>39.9</v>
      </c>
      <c r="J61" s="74">
        <v>1500</v>
      </c>
      <c r="K61" s="74">
        <v>3470000</v>
      </c>
      <c r="L61" s="74">
        <v>49700</v>
      </c>
      <c r="M61" s="74">
        <v>64900.000000000007</v>
      </c>
      <c r="N61" s="74">
        <v>350</v>
      </c>
      <c r="O61" s="74">
        <v>48.2</v>
      </c>
      <c r="P61" s="74">
        <v>6950000</v>
      </c>
      <c r="Q61" s="74">
        <v>99500</v>
      </c>
      <c r="R61" s="74">
        <v>99.5</v>
      </c>
      <c r="S61" s="74">
        <v>1</v>
      </c>
      <c r="T61" s="95" t="s">
        <v>495</v>
      </c>
      <c r="U61" s="95">
        <v>63700</v>
      </c>
      <c r="V61" s="74">
        <v>63.7</v>
      </c>
    </row>
    <row r="62" spans="1:22">
      <c r="A62" s="74" t="s">
        <v>866</v>
      </c>
      <c r="B62" s="74">
        <v>139.69999999999999</v>
      </c>
      <c r="C62" s="95" t="s">
        <v>491</v>
      </c>
      <c r="D62" s="74">
        <v>3</v>
      </c>
      <c r="E62" s="95" t="s">
        <v>410</v>
      </c>
      <c r="F62" s="74">
        <v>10.1</v>
      </c>
      <c r="G62" s="74">
        <v>0.439</v>
      </c>
      <c r="H62" s="74">
        <v>43.4</v>
      </c>
      <c r="I62" s="74">
        <v>46.6</v>
      </c>
      <c r="J62" s="74">
        <v>1290</v>
      </c>
      <c r="K62" s="74">
        <v>3010000</v>
      </c>
      <c r="L62" s="74">
        <v>43100</v>
      </c>
      <c r="M62" s="74">
        <v>56100</v>
      </c>
      <c r="N62" s="74">
        <v>350</v>
      </c>
      <c r="O62" s="74">
        <v>48.3</v>
      </c>
      <c r="P62" s="74">
        <v>6020000</v>
      </c>
      <c r="Q62" s="74">
        <v>86200</v>
      </c>
      <c r="R62" s="74">
        <v>86.2</v>
      </c>
      <c r="S62" s="74">
        <v>1</v>
      </c>
      <c r="T62" s="95" t="s">
        <v>495</v>
      </c>
      <c r="U62" s="95">
        <v>53300</v>
      </c>
      <c r="V62" s="74">
        <v>53.3</v>
      </c>
    </row>
    <row r="63" spans="1:22">
      <c r="A63" s="74" t="s">
        <v>867</v>
      </c>
      <c r="B63" s="74">
        <v>114.3</v>
      </c>
      <c r="C63" s="95" t="s">
        <v>491</v>
      </c>
      <c r="D63" s="74">
        <v>3.6</v>
      </c>
      <c r="E63" s="95" t="s">
        <v>410</v>
      </c>
      <c r="F63" s="74">
        <v>9.83</v>
      </c>
      <c r="G63" s="74">
        <v>0.35899999999999999</v>
      </c>
      <c r="H63" s="74">
        <v>36.5</v>
      </c>
      <c r="I63" s="74">
        <v>31.8</v>
      </c>
      <c r="J63" s="74">
        <v>1250</v>
      </c>
      <c r="K63" s="74">
        <v>1920000</v>
      </c>
      <c r="L63" s="74">
        <v>33600</v>
      </c>
      <c r="M63" s="74">
        <v>44100</v>
      </c>
      <c r="N63" s="74">
        <v>350</v>
      </c>
      <c r="O63" s="74">
        <v>39.200000000000003</v>
      </c>
      <c r="P63" s="74">
        <v>3840000</v>
      </c>
      <c r="Q63" s="74">
        <v>67200</v>
      </c>
      <c r="R63" s="74">
        <v>67.2</v>
      </c>
      <c r="S63" s="74">
        <v>1</v>
      </c>
      <c r="T63" s="95" t="s">
        <v>494</v>
      </c>
      <c r="U63" s="95">
        <v>44100</v>
      </c>
      <c r="V63" s="74">
        <v>44.1</v>
      </c>
    </row>
    <row r="64" spans="1:22">
      <c r="A64" s="74" t="s">
        <v>868</v>
      </c>
      <c r="B64" s="74">
        <v>114.3</v>
      </c>
      <c r="C64" s="95" t="s">
        <v>491</v>
      </c>
      <c r="D64" s="74">
        <v>3.2</v>
      </c>
      <c r="E64" s="95" t="s">
        <v>410</v>
      </c>
      <c r="F64" s="74">
        <v>8.77</v>
      </c>
      <c r="G64" s="74">
        <v>0.35899999999999999</v>
      </c>
      <c r="H64" s="74">
        <v>41</v>
      </c>
      <c r="I64" s="74">
        <v>35.700000000000003</v>
      </c>
      <c r="J64" s="74">
        <v>1120</v>
      </c>
      <c r="K64" s="74">
        <v>1720000</v>
      </c>
      <c r="L64" s="74">
        <v>30200</v>
      </c>
      <c r="M64" s="74">
        <v>39500</v>
      </c>
      <c r="N64" s="74">
        <v>350</v>
      </c>
      <c r="O64" s="74">
        <v>39.299999999999997</v>
      </c>
      <c r="P64" s="74">
        <v>3450000</v>
      </c>
      <c r="Q64" s="74">
        <v>60400</v>
      </c>
      <c r="R64" s="74">
        <v>60.4</v>
      </c>
      <c r="S64" s="74">
        <v>1</v>
      </c>
      <c r="T64" s="95" t="s">
        <v>495</v>
      </c>
      <c r="U64" s="95">
        <v>39500</v>
      </c>
      <c r="V64" s="74">
        <v>39.5</v>
      </c>
    </row>
    <row r="65" spans="1:22">
      <c r="A65" s="74" t="s">
        <v>869</v>
      </c>
      <c r="B65" s="74">
        <v>101.6</v>
      </c>
      <c r="C65" s="95" t="s">
        <v>491</v>
      </c>
      <c r="D65" s="74">
        <v>3.2</v>
      </c>
      <c r="E65" s="95" t="s">
        <v>410</v>
      </c>
      <c r="F65" s="74">
        <v>7.77</v>
      </c>
      <c r="G65" s="74">
        <v>0.31900000000000001</v>
      </c>
      <c r="H65" s="74">
        <v>41.1</v>
      </c>
      <c r="I65" s="74">
        <v>31.8</v>
      </c>
      <c r="J65" s="74">
        <v>989</v>
      </c>
      <c r="K65" s="74">
        <v>1200000</v>
      </c>
      <c r="L65" s="74">
        <v>23600</v>
      </c>
      <c r="M65" s="74">
        <v>31000</v>
      </c>
      <c r="N65" s="74">
        <v>350</v>
      </c>
      <c r="O65" s="74">
        <v>34.799999999999997</v>
      </c>
      <c r="P65" s="74">
        <v>2400000</v>
      </c>
      <c r="Q65" s="74">
        <v>47200</v>
      </c>
      <c r="R65" s="74">
        <v>47.2</v>
      </c>
      <c r="S65" s="74">
        <v>1</v>
      </c>
      <c r="T65" s="95" t="s">
        <v>494</v>
      </c>
      <c r="U65" s="95">
        <v>31000</v>
      </c>
      <c r="V65" s="74">
        <v>31</v>
      </c>
    </row>
    <row r="66" spans="1:22">
      <c r="A66" s="74" t="s">
        <v>870</v>
      </c>
      <c r="B66" s="74">
        <v>101.6</v>
      </c>
      <c r="C66" s="95" t="s">
        <v>491</v>
      </c>
      <c r="D66" s="74">
        <v>2.6</v>
      </c>
      <c r="E66" s="95" t="s">
        <v>410</v>
      </c>
      <c r="F66" s="74">
        <v>6.35</v>
      </c>
      <c r="G66" s="74">
        <v>0.31900000000000001</v>
      </c>
      <c r="H66" s="74">
        <v>50.3</v>
      </c>
      <c r="I66" s="74">
        <v>39.1</v>
      </c>
      <c r="J66" s="74">
        <v>809</v>
      </c>
      <c r="K66" s="74">
        <v>991000</v>
      </c>
      <c r="L66" s="74">
        <v>19500</v>
      </c>
      <c r="M66" s="74">
        <v>25500</v>
      </c>
      <c r="N66" s="74">
        <v>350</v>
      </c>
      <c r="O66" s="74">
        <v>35</v>
      </c>
      <c r="P66" s="74">
        <v>1980000</v>
      </c>
      <c r="Q66" s="74">
        <v>39000</v>
      </c>
      <c r="R66" s="74">
        <v>39</v>
      </c>
      <c r="S66" s="74">
        <v>1</v>
      </c>
      <c r="T66" s="95" t="s">
        <v>495</v>
      </c>
      <c r="U66" s="95">
        <v>25100</v>
      </c>
      <c r="V66" s="74">
        <v>25.1</v>
      </c>
    </row>
    <row r="67" spans="1:22">
      <c r="A67" s="74" t="s">
        <v>871</v>
      </c>
      <c r="B67" s="74">
        <v>88.9</v>
      </c>
      <c r="C67" s="95" t="s">
        <v>491</v>
      </c>
      <c r="D67" s="74">
        <v>3.2</v>
      </c>
      <c r="E67" s="95" t="s">
        <v>410</v>
      </c>
      <c r="F67" s="74">
        <v>6.76</v>
      </c>
      <c r="G67" s="74">
        <v>0.27900000000000003</v>
      </c>
      <c r="H67" s="74">
        <v>41.3</v>
      </c>
      <c r="I67" s="74">
        <v>27.8</v>
      </c>
      <c r="J67" s="74">
        <v>862</v>
      </c>
      <c r="K67" s="74">
        <v>792000</v>
      </c>
      <c r="L67" s="74">
        <v>17800</v>
      </c>
      <c r="M67" s="74">
        <v>23500</v>
      </c>
      <c r="N67" s="74">
        <v>350</v>
      </c>
      <c r="O67" s="74">
        <v>30.3</v>
      </c>
      <c r="P67" s="74">
        <v>1580000</v>
      </c>
      <c r="Q67" s="74">
        <v>35600</v>
      </c>
      <c r="R67" s="74">
        <v>35.6</v>
      </c>
      <c r="S67" s="74">
        <v>1</v>
      </c>
      <c r="T67" s="95" t="s">
        <v>494</v>
      </c>
      <c r="U67" s="95">
        <v>23500</v>
      </c>
      <c r="V67" s="74">
        <v>23.5</v>
      </c>
    </row>
    <row r="68" spans="1:22">
      <c r="A68" s="74" t="s">
        <v>872</v>
      </c>
      <c r="B68" s="74">
        <v>88.9</v>
      </c>
      <c r="C68" s="95" t="s">
        <v>491</v>
      </c>
      <c r="D68" s="74">
        <v>2.6</v>
      </c>
      <c r="E68" s="95" t="s">
        <v>410</v>
      </c>
      <c r="F68" s="74">
        <v>5.53</v>
      </c>
      <c r="G68" s="74">
        <v>0.27900000000000003</v>
      </c>
      <c r="H68" s="74">
        <v>50.5</v>
      </c>
      <c r="I68" s="74">
        <v>34.200000000000003</v>
      </c>
      <c r="J68" s="74">
        <v>705</v>
      </c>
      <c r="K68" s="74">
        <v>657000</v>
      </c>
      <c r="L68" s="74">
        <v>14800</v>
      </c>
      <c r="M68" s="74">
        <v>19400</v>
      </c>
      <c r="N68" s="74">
        <v>350</v>
      </c>
      <c r="O68" s="74">
        <v>30.5</v>
      </c>
      <c r="P68" s="74">
        <v>1310000</v>
      </c>
      <c r="Q68" s="74">
        <v>29600</v>
      </c>
      <c r="R68" s="74">
        <v>29.6</v>
      </c>
      <c r="S68" s="74">
        <v>1</v>
      </c>
      <c r="T68" s="95" t="s">
        <v>494</v>
      </c>
      <c r="U68" s="95">
        <v>19400</v>
      </c>
      <c r="V68" s="74">
        <v>19.399999999999999</v>
      </c>
    </row>
    <row r="69" spans="1:22">
      <c r="A69" s="74" t="s">
        <v>873</v>
      </c>
      <c r="B69" s="74">
        <v>76.099999999999994</v>
      </c>
      <c r="C69" s="95" t="s">
        <v>491</v>
      </c>
      <c r="D69" s="74">
        <v>3.2</v>
      </c>
      <c r="E69" s="95" t="s">
        <v>410</v>
      </c>
      <c r="F69" s="74">
        <v>5.75</v>
      </c>
      <c r="G69" s="74">
        <v>0.23899999999999999</v>
      </c>
      <c r="H69" s="74">
        <v>41.6</v>
      </c>
      <c r="I69" s="74">
        <v>23.8</v>
      </c>
      <c r="J69" s="74">
        <v>733</v>
      </c>
      <c r="K69" s="74">
        <v>488000</v>
      </c>
      <c r="L69" s="74">
        <v>12800</v>
      </c>
      <c r="M69" s="74">
        <v>17000</v>
      </c>
      <c r="N69" s="74">
        <v>350</v>
      </c>
      <c r="O69" s="74">
        <v>25.8</v>
      </c>
      <c r="P69" s="74">
        <v>976000</v>
      </c>
      <c r="Q69" s="74">
        <v>25600</v>
      </c>
      <c r="R69" s="74">
        <v>25.6</v>
      </c>
      <c r="S69" s="74">
        <v>1</v>
      </c>
      <c r="T69" s="95" t="s">
        <v>494</v>
      </c>
      <c r="U69" s="95">
        <v>17000</v>
      </c>
      <c r="V69" s="74">
        <v>17</v>
      </c>
    </row>
    <row r="70" spans="1:22">
      <c r="A70" s="74" t="s">
        <v>874</v>
      </c>
      <c r="B70" s="74">
        <v>76.099999999999994</v>
      </c>
      <c r="C70" s="95" t="s">
        <v>491</v>
      </c>
      <c r="D70" s="74">
        <v>2.2999999999999998</v>
      </c>
      <c r="E70" s="95" t="s">
        <v>410</v>
      </c>
      <c r="F70" s="74">
        <v>4.1900000000000004</v>
      </c>
      <c r="G70" s="74">
        <v>0.23899999999999999</v>
      </c>
      <c r="H70" s="74">
        <v>57.1</v>
      </c>
      <c r="I70" s="74">
        <v>33.1</v>
      </c>
      <c r="J70" s="74">
        <v>533</v>
      </c>
      <c r="K70" s="74">
        <v>363000</v>
      </c>
      <c r="L70" s="74">
        <v>9550</v>
      </c>
      <c r="M70" s="74">
        <v>12500</v>
      </c>
      <c r="N70" s="74">
        <v>350</v>
      </c>
      <c r="O70" s="74">
        <v>26.1</v>
      </c>
      <c r="P70" s="74">
        <v>727000</v>
      </c>
      <c r="Q70" s="74">
        <v>19100</v>
      </c>
      <c r="R70" s="74">
        <v>19.100000000000001</v>
      </c>
      <c r="S70" s="74">
        <v>1</v>
      </c>
      <c r="T70" s="95" t="s">
        <v>494</v>
      </c>
      <c r="U70" s="95">
        <v>12500</v>
      </c>
      <c r="V70" s="74">
        <v>12.5</v>
      </c>
    </row>
    <row r="71" spans="1:22">
      <c r="A71" s="74" t="s">
        <v>875</v>
      </c>
      <c r="B71" s="74">
        <v>60.3</v>
      </c>
      <c r="C71" s="95" t="s">
        <v>491</v>
      </c>
      <c r="D71" s="74">
        <v>2.9</v>
      </c>
      <c r="E71" s="95" t="s">
        <v>410</v>
      </c>
      <c r="F71" s="74">
        <v>4.1100000000000003</v>
      </c>
      <c r="G71" s="74">
        <v>0.189</v>
      </c>
      <c r="H71" s="74">
        <v>46.1</v>
      </c>
      <c r="I71" s="74">
        <v>20.8</v>
      </c>
      <c r="J71" s="74">
        <v>523</v>
      </c>
      <c r="K71" s="74">
        <v>216000</v>
      </c>
      <c r="L71" s="74">
        <v>7160</v>
      </c>
      <c r="M71" s="74">
        <v>9560</v>
      </c>
      <c r="N71" s="74">
        <v>350</v>
      </c>
      <c r="O71" s="74">
        <v>20.3</v>
      </c>
      <c r="P71" s="74">
        <v>432000</v>
      </c>
      <c r="Q71" s="74">
        <v>14300</v>
      </c>
      <c r="R71" s="74">
        <v>14.3</v>
      </c>
      <c r="S71" s="74">
        <v>1</v>
      </c>
      <c r="T71" s="95" t="s">
        <v>494</v>
      </c>
      <c r="U71" s="95">
        <v>9560</v>
      </c>
      <c r="V71" s="74">
        <v>9.56</v>
      </c>
    </row>
    <row r="72" spans="1:22">
      <c r="A72" s="74" t="s">
        <v>876</v>
      </c>
      <c r="B72" s="74">
        <v>60.3</v>
      </c>
      <c r="C72" s="95" t="s">
        <v>491</v>
      </c>
      <c r="D72" s="74">
        <v>2.2999999999999998</v>
      </c>
      <c r="E72" s="95" t="s">
        <v>410</v>
      </c>
      <c r="F72" s="74">
        <v>3.29</v>
      </c>
      <c r="G72" s="74">
        <v>0.189</v>
      </c>
      <c r="H72" s="74">
        <v>57.6</v>
      </c>
      <c r="I72" s="74">
        <v>26.2</v>
      </c>
      <c r="J72" s="74">
        <v>419</v>
      </c>
      <c r="K72" s="74">
        <v>177000</v>
      </c>
      <c r="L72" s="74">
        <v>5850</v>
      </c>
      <c r="M72" s="74">
        <v>7740</v>
      </c>
      <c r="N72" s="74">
        <v>350</v>
      </c>
      <c r="O72" s="74">
        <v>20.5</v>
      </c>
      <c r="P72" s="74">
        <v>353000</v>
      </c>
      <c r="Q72" s="74">
        <v>11700</v>
      </c>
      <c r="R72" s="74">
        <v>11.7</v>
      </c>
      <c r="S72" s="74">
        <v>1</v>
      </c>
      <c r="T72" s="95" t="s">
        <v>494</v>
      </c>
      <c r="U72" s="95">
        <v>7740</v>
      </c>
      <c r="V72" s="74">
        <v>7.74</v>
      </c>
    </row>
    <row r="73" spans="1:22">
      <c r="A73" s="74" t="s">
        <v>877</v>
      </c>
      <c r="B73" s="74">
        <v>48.3</v>
      </c>
      <c r="C73" s="95" t="s">
        <v>491</v>
      </c>
      <c r="D73" s="74">
        <v>2.9</v>
      </c>
      <c r="E73" s="95" t="s">
        <v>410</v>
      </c>
      <c r="F73" s="74">
        <v>3.25</v>
      </c>
      <c r="G73" s="74">
        <v>0.152</v>
      </c>
      <c r="H73" s="74">
        <v>46.7</v>
      </c>
      <c r="I73" s="74">
        <v>16.7</v>
      </c>
      <c r="J73" s="74">
        <v>414</v>
      </c>
      <c r="K73" s="74">
        <v>107000</v>
      </c>
      <c r="L73" s="74">
        <v>4430</v>
      </c>
      <c r="M73" s="74">
        <v>5990</v>
      </c>
      <c r="N73" s="74">
        <v>350</v>
      </c>
      <c r="O73" s="74">
        <v>16.100000000000001</v>
      </c>
      <c r="P73" s="74">
        <v>214000</v>
      </c>
      <c r="Q73" s="74">
        <v>8860</v>
      </c>
      <c r="R73" s="74">
        <v>8.86</v>
      </c>
      <c r="S73" s="74">
        <v>1</v>
      </c>
      <c r="T73" s="95" t="s">
        <v>494</v>
      </c>
      <c r="U73" s="95">
        <v>5990</v>
      </c>
      <c r="V73" s="74">
        <v>5.99</v>
      </c>
    </row>
    <row r="74" spans="1:22">
      <c r="A74" s="74" t="s">
        <v>878</v>
      </c>
      <c r="B74" s="74">
        <v>48.3</v>
      </c>
      <c r="C74" s="95" t="s">
        <v>491</v>
      </c>
      <c r="D74" s="74">
        <v>2.2999999999999998</v>
      </c>
      <c r="E74" s="95" t="s">
        <v>410</v>
      </c>
      <c r="F74" s="74">
        <v>2.61</v>
      </c>
      <c r="G74" s="74">
        <v>0.152</v>
      </c>
      <c r="H74" s="74">
        <v>58.2</v>
      </c>
      <c r="I74" s="74">
        <v>21</v>
      </c>
      <c r="J74" s="74">
        <v>332</v>
      </c>
      <c r="K74" s="74">
        <v>88100</v>
      </c>
      <c r="L74" s="74">
        <v>3650</v>
      </c>
      <c r="M74" s="74">
        <v>4870</v>
      </c>
      <c r="N74" s="74">
        <v>350</v>
      </c>
      <c r="O74" s="74">
        <v>16.3</v>
      </c>
      <c r="P74" s="74">
        <v>176000</v>
      </c>
      <c r="Q74" s="74">
        <v>7300</v>
      </c>
      <c r="R74" s="74">
        <v>7.3</v>
      </c>
      <c r="S74" s="74">
        <v>1</v>
      </c>
      <c r="T74" s="95" t="s">
        <v>494</v>
      </c>
      <c r="U74" s="95">
        <v>4870</v>
      </c>
      <c r="V74" s="74">
        <v>4.87</v>
      </c>
    </row>
    <row r="75" spans="1:22">
      <c r="A75" s="74" t="s">
        <v>879</v>
      </c>
      <c r="B75" s="74">
        <v>42.4</v>
      </c>
      <c r="C75" s="95" t="s">
        <v>491</v>
      </c>
      <c r="D75" s="74">
        <v>2.6</v>
      </c>
      <c r="E75" s="95" t="s">
        <v>410</v>
      </c>
      <c r="F75" s="74">
        <v>2.5499999999999998</v>
      </c>
      <c r="G75" s="74">
        <v>0.13300000000000001</v>
      </c>
      <c r="H75" s="74">
        <v>52.2</v>
      </c>
      <c r="I75" s="74">
        <v>16.3</v>
      </c>
      <c r="J75" s="74">
        <v>325</v>
      </c>
      <c r="K75" s="74">
        <v>64600.000000000007</v>
      </c>
      <c r="L75" s="74">
        <v>3050</v>
      </c>
      <c r="M75" s="74">
        <v>4120</v>
      </c>
      <c r="N75" s="74">
        <v>350</v>
      </c>
      <c r="O75" s="74">
        <v>14.1</v>
      </c>
      <c r="P75" s="74">
        <v>129000</v>
      </c>
      <c r="Q75" s="74">
        <v>6100</v>
      </c>
      <c r="R75" s="74">
        <v>6.1</v>
      </c>
      <c r="S75" s="74">
        <v>1</v>
      </c>
      <c r="T75" s="95" t="s">
        <v>494</v>
      </c>
      <c r="U75" s="95">
        <v>4120</v>
      </c>
      <c r="V75" s="74">
        <v>4.12</v>
      </c>
    </row>
    <row r="76" spans="1:22">
      <c r="A76" s="74" t="s">
        <v>880</v>
      </c>
      <c r="B76" s="74">
        <v>42.4</v>
      </c>
      <c r="C76" s="95" t="s">
        <v>491</v>
      </c>
      <c r="D76" s="74">
        <v>2</v>
      </c>
      <c r="E76" s="95" t="s">
        <v>410</v>
      </c>
      <c r="F76" s="74">
        <v>1.99</v>
      </c>
      <c r="G76" s="74">
        <v>0.13300000000000001</v>
      </c>
      <c r="H76" s="74">
        <v>66.8</v>
      </c>
      <c r="I76" s="74">
        <v>21.2</v>
      </c>
      <c r="J76" s="74">
        <v>254</v>
      </c>
      <c r="K76" s="74">
        <v>51900</v>
      </c>
      <c r="L76" s="74">
        <v>2450</v>
      </c>
      <c r="M76" s="74">
        <v>3270</v>
      </c>
      <c r="N76" s="74">
        <v>350</v>
      </c>
      <c r="O76" s="74">
        <v>14.3</v>
      </c>
      <c r="P76" s="74">
        <v>104000</v>
      </c>
      <c r="Q76" s="74">
        <v>4900</v>
      </c>
      <c r="R76" s="74">
        <v>4.9000000000000004</v>
      </c>
      <c r="S76" s="74">
        <v>1</v>
      </c>
      <c r="T76" s="95" t="s">
        <v>494</v>
      </c>
      <c r="U76" s="95">
        <v>3270</v>
      </c>
      <c r="V76" s="74">
        <v>3.27</v>
      </c>
    </row>
    <row r="77" spans="1:22">
      <c r="A77" s="74" t="s">
        <v>881</v>
      </c>
      <c r="B77" s="74">
        <v>33.700000000000003</v>
      </c>
      <c r="C77" s="95" t="s">
        <v>491</v>
      </c>
      <c r="D77" s="74">
        <v>2.6</v>
      </c>
      <c r="E77" s="95" t="s">
        <v>410</v>
      </c>
      <c r="F77" s="74">
        <v>1.99</v>
      </c>
      <c r="G77" s="74">
        <v>0.106</v>
      </c>
      <c r="H77" s="74">
        <v>53.1</v>
      </c>
      <c r="I77" s="74">
        <v>13</v>
      </c>
      <c r="J77" s="74">
        <v>254</v>
      </c>
      <c r="K77" s="74">
        <v>30900</v>
      </c>
      <c r="L77" s="74">
        <v>1840</v>
      </c>
      <c r="M77" s="74">
        <v>2520</v>
      </c>
      <c r="N77" s="74">
        <v>350</v>
      </c>
      <c r="O77" s="74">
        <v>11</v>
      </c>
      <c r="P77" s="74">
        <v>61900</v>
      </c>
      <c r="Q77" s="74">
        <v>3670</v>
      </c>
      <c r="R77" s="74">
        <v>3.67</v>
      </c>
      <c r="S77" s="74">
        <v>1</v>
      </c>
      <c r="T77" s="95" t="s">
        <v>494</v>
      </c>
      <c r="U77" s="95">
        <v>2520</v>
      </c>
      <c r="V77" s="74">
        <v>2.52</v>
      </c>
    </row>
    <row r="78" spans="1:22">
      <c r="A78" s="74" t="s">
        <v>882</v>
      </c>
      <c r="B78" s="74">
        <v>33.700000000000003</v>
      </c>
      <c r="C78" s="95" t="s">
        <v>491</v>
      </c>
      <c r="D78" s="74">
        <v>2</v>
      </c>
      <c r="E78" s="95" t="s">
        <v>410</v>
      </c>
      <c r="F78" s="74">
        <v>1.56</v>
      </c>
      <c r="G78" s="74">
        <v>0.106</v>
      </c>
      <c r="H78" s="74">
        <v>67.7</v>
      </c>
      <c r="I78" s="74">
        <v>16.899999999999999</v>
      </c>
      <c r="J78" s="74">
        <v>199</v>
      </c>
      <c r="K78" s="74">
        <v>25100</v>
      </c>
      <c r="L78" s="74">
        <v>1490</v>
      </c>
      <c r="M78" s="74">
        <v>2009.9999999999998</v>
      </c>
      <c r="N78" s="74">
        <v>350</v>
      </c>
      <c r="O78" s="74">
        <v>11.2</v>
      </c>
      <c r="P78" s="74">
        <v>50200</v>
      </c>
      <c r="Q78" s="74">
        <v>2980</v>
      </c>
      <c r="R78" s="74">
        <v>2.98</v>
      </c>
      <c r="S78" s="74">
        <v>1</v>
      </c>
      <c r="T78" s="95" t="s">
        <v>494</v>
      </c>
      <c r="U78" s="95">
        <v>2009.9999999999998</v>
      </c>
      <c r="V78" s="74">
        <v>2.0099999999999998</v>
      </c>
    </row>
    <row r="79" spans="1:22">
      <c r="A79" s="74" t="s">
        <v>883</v>
      </c>
      <c r="B79" s="74">
        <v>26.9</v>
      </c>
      <c r="C79" s="95" t="s">
        <v>491</v>
      </c>
      <c r="D79" s="74">
        <v>2.2999999999999998</v>
      </c>
      <c r="E79" s="95" t="s">
        <v>410</v>
      </c>
      <c r="F79" s="74">
        <v>1.4</v>
      </c>
      <c r="G79" s="74">
        <v>8.4500000000000006E-2</v>
      </c>
      <c r="H79" s="74">
        <v>60.6</v>
      </c>
      <c r="I79" s="74">
        <v>11.7</v>
      </c>
      <c r="J79" s="74">
        <v>178</v>
      </c>
      <c r="K79" s="74">
        <v>13600</v>
      </c>
      <c r="L79" s="74">
        <v>1010</v>
      </c>
      <c r="M79" s="74">
        <v>1400</v>
      </c>
      <c r="N79" s="74">
        <v>350</v>
      </c>
      <c r="O79" s="74">
        <v>8.74</v>
      </c>
      <c r="P79" s="74">
        <v>27100</v>
      </c>
      <c r="Q79" s="74">
        <v>2020</v>
      </c>
      <c r="R79" s="74">
        <v>2.02</v>
      </c>
      <c r="S79" s="74">
        <v>1</v>
      </c>
      <c r="T79" s="95" t="s">
        <v>494</v>
      </c>
      <c r="U79" s="95">
        <v>1400</v>
      </c>
      <c r="V79" s="74">
        <v>1.4</v>
      </c>
    </row>
    <row r="80" spans="1:22">
      <c r="A80" s="74" t="s">
        <v>884</v>
      </c>
      <c r="B80" s="74">
        <v>26.9</v>
      </c>
      <c r="C80" s="95" t="s">
        <v>491</v>
      </c>
      <c r="D80" s="74">
        <v>2</v>
      </c>
      <c r="E80" s="95" t="s">
        <v>410</v>
      </c>
      <c r="F80" s="74">
        <v>1.23</v>
      </c>
      <c r="G80" s="74">
        <v>8.4500000000000006E-2</v>
      </c>
      <c r="H80" s="74">
        <v>68.8</v>
      </c>
      <c r="I80" s="74">
        <v>13.5</v>
      </c>
      <c r="J80" s="74">
        <v>156</v>
      </c>
      <c r="K80" s="74">
        <v>12200</v>
      </c>
      <c r="L80" s="74">
        <v>907</v>
      </c>
      <c r="M80" s="74">
        <v>1240</v>
      </c>
      <c r="N80" s="74">
        <v>350</v>
      </c>
      <c r="O80" s="74">
        <v>8.83</v>
      </c>
      <c r="P80" s="74">
        <v>24400</v>
      </c>
      <c r="Q80" s="74">
        <v>1810</v>
      </c>
      <c r="R80" s="74">
        <v>1.81</v>
      </c>
      <c r="S80" s="74">
        <v>1</v>
      </c>
      <c r="T80" s="95" t="s">
        <v>494</v>
      </c>
      <c r="U80" s="95">
        <v>1240</v>
      </c>
      <c r="V80" s="74">
        <v>1.24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50D3-CEC6-4C61-8521-CDCC51E44F25}">
  <sheetPr codeName="Sheet10"/>
  <dimension ref="A1:W18"/>
  <sheetViews>
    <sheetView workbookViewId="0">
      <selection activeCell="R28" sqref="R28"/>
    </sheetView>
  </sheetViews>
  <sheetFormatPr defaultColWidth="8.88671875" defaultRowHeight="14.4"/>
  <cols>
    <col min="1" max="7" width="8.88671875" style="20"/>
    <col min="8" max="9" width="10" style="20" bestFit="1" customWidth="1"/>
    <col min="10" max="10" width="10.109375" style="20" customWidth="1"/>
    <col min="11" max="17" width="8.88671875" style="20"/>
    <col min="18" max="18" width="12" style="20" bestFit="1" customWidth="1"/>
    <col min="19" max="16384" width="8.88671875" style="20"/>
  </cols>
  <sheetData>
    <row r="1" spans="1:23">
      <c r="A1" s="21"/>
      <c r="B1" s="22"/>
      <c r="C1" s="22" t="s">
        <v>362</v>
      </c>
      <c r="D1" s="22"/>
      <c r="E1" s="22"/>
      <c r="F1" s="22"/>
      <c r="G1" s="22" t="s">
        <v>361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3"/>
    </row>
    <row r="2" spans="1:2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3"/>
    </row>
    <row r="3" spans="1:23">
      <c r="A3" s="24" t="s">
        <v>7</v>
      </c>
      <c r="B3" s="24"/>
      <c r="C3" s="24"/>
      <c r="D3" s="24"/>
      <c r="E3" s="24"/>
      <c r="F3" s="57" t="s">
        <v>360</v>
      </c>
      <c r="G3" s="25" t="s">
        <v>195</v>
      </c>
      <c r="H3" s="25"/>
      <c r="I3" s="25"/>
      <c r="J3" s="25"/>
      <c r="K3" s="25"/>
      <c r="L3" s="26"/>
      <c r="M3" s="25"/>
      <c r="N3" s="25"/>
      <c r="O3" s="25"/>
      <c r="P3" s="25"/>
      <c r="Q3" s="25" t="s">
        <v>194</v>
      </c>
      <c r="R3" s="27" t="s">
        <v>193</v>
      </c>
    </row>
    <row r="4" spans="1:23">
      <c r="A4" s="28"/>
      <c r="B4" s="28"/>
      <c r="C4" s="28"/>
      <c r="D4" s="28"/>
      <c r="E4" s="28"/>
      <c r="F4" s="58" t="s">
        <v>359</v>
      </c>
      <c r="G4" s="67" t="s">
        <v>192</v>
      </c>
      <c r="H4" s="72" t="s">
        <v>16</v>
      </c>
      <c r="I4" s="72"/>
      <c r="J4" s="72"/>
      <c r="K4" s="32"/>
      <c r="L4" s="72" t="s">
        <v>19</v>
      </c>
      <c r="M4" s="72"/>
      <c r="N4" s="72"/>
      <c r="O4" s="72"/>
      <c r="P4" s="72"/>
      <c r="Q4" s="67" t="s">
        <v>191</v>
      </c>
      <c r="R4" s="29" t="s">
        <v>191</v>
      </c>
    </row>
    <row r="5" spans="1:23">
      <c r="A5" s="28"/>
      <c r="B5" s="28"/>
      <c r="C5" s="28"/>
      <c r="D5" s="28"/>
      <c r="E5" s="28"/>
      <c r="F5" s="58" t="s">
        <v>358</v>
      </c>
      <c r="G5" s="67" t="s">
        <v>190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29"/>
      <c r="S5" s="115" t="s">
        <v>189</v>
      </c>
      <c r="T5" s="116"/>
      <c r="U5" s="116"/>
      <c r="V5" s="116"/>
      <c r="W5" s="116"/>
    </row>
    <row r="6" spans="1:23">
      <c r="A6" s="31" t="s">
        <v>118</v>
      </c>
      <c r="B6" s="31" t="s">
        <v>9</v>
      </c>
      <c r="C6" s="31" t="s">
        <v>10</v>
      </c>
      <c r="D6" s="31" t="s">
        <v>12</v>
      </c>
      <c r="E6" s="31" t="s">
        <v>13</v>
      </c>
      <c r="F6" s="59" t="s">
        <v>119</v>
      </c>
      <c r="G6" s="32" t="s">
        <v>120</v>
      </c>
      <c r="H6" s="32" t="s">
        <v>121</v>
      </c>
      <c r="I6" s="32" t="s">
        <v>122</v>
      </c>
      <c r="J6" s="32" t="s">
        <v>123</v>
      </c>
      <c r="K6" s="32" t="s">
        <v>124</v>
      </c>
      <c r="L6" s="32" t="s">
        <v>125</v>
      </c>
      <c r="M6" s="32"/>
      <c r="N6" s="32" t="s">
        <v>127</v>
      </c>
      <c r="O6" s="32" t="s">
        <v>128</v>
      </c>
      <c r="P6" s="32" t="s">
        <v>129</v>
      </c>
      <c r="Q6" s="32" t="s">
        <v>17</v>
      </c>
      <c r="R6" s="41" t="s">
        <v>18</v>
      </c>
      <c r="S6" s="69" t="s">
        <v>130</v>
      </c>
      <c r="T6" s="66" t="s">
        <v>15</v>
      </c>
      <c r="U6" s="66" t="s">
        <v>131</v>
      </c>
      <c r="V6" s="66" t="s">
        <v>369</v>
      </c>
      <c r="W6" s="66" t="s">
        <v>370</v>
      </c>
    </row>
    <row r="7" spans="1:23">
      <c r="A7" s="35" t="s">
        <v>132</v>
      </c>
      <c r="B7" s="35" t="s">
        <v>133</v>
      </c>
      <c r="C7" s="35" t="s">
        <v>133</v>
      </c>
      <c r="D7" s="35" t="s">
        <v>133</v>
      </c>
      <c r="E7" s="35" t="s">
        <v>133</v>
      </c>
      <c r="F7" s="60" t="s">
        <v>8</v>
      </c>
      <c r="G7" s="65" t="s">
        <v>134</v>
      </c>
      <c r="H7" s="65" t="s">
        <v>135</v>
      </c>
      <c r="I7" s="65" t="s">
        <v>136</v>
      </c>
      <c r="J7" s="65" t="s">
        <v>136</v>
      </c>
      <c r="K7" s="65" t="s">
        <v>133</v>
      </c>
      <c r="L7" s="65" t="s">
        <v>135</v>
      </c>
      <c r="M7" s="65" t="s">
        <v>136</v>
      </c>
      <c r="N7" s="65"/>
      <c r="O7" s="65" t="s">
        <v>136</v>
      </c>
      <c r="P7" s="65" t="s">
        <v>133</v>
      </c>
      <c r="Q7" s="65" t="s">
        <v>135</v>
      </c>
      <c r="R7" s="42" t="s">
        <v>137</v>
      </c>
      <c r="U7" s="20">
        <v>1</v>
      </c>
    </row>
    <row r="8" spans="1:23">
      <c r="A8" s="20" t="s">
        <v>138</v>
      </c>
      <c r="B8" s="20">
        <v>380</v>
      </c>
      <c r="C8" s="20">
        <v>100</v>
      </c>
      <c r="D8" s="20">
        <v>17.5</v>
      </c>
      <c r="E8" s="20">
        <v>10</v>
      </c>
      <c r="F8" s="20">
        <v>55.2</v>
      </c>
      <c r="G8" s="20">
        <v>7030</v>
      </c>
      <c r="H8" s="20">
        <v>152000000</v>
      </c>
      <c r="I8" s="20">
        <v>798000</v>
      </c>
      <c r="J8" s="20">
        <v>946000</v>
      </c>
      <c r="K8" s="20">
        <v>147</v>
      </c>
      <c r="L8" s="20">
        <v>6480000</v>
      </c>
      <c r="M8" s="20">
        <v>89400</v>
      </c>
      <c r="N8" s="20">
        <v>236000</v>
      </c>
      <c r="O8" s="20">
        <v>161000</v>
      </c>
      <c r="P8" s="20">
        <v>30.4</v>
      </c>
      <c r="Q8" s="20">
        <v>472000</v>
      </c>
      <c r="R8" s="20">
        <v>151000000000</v>
      </c>
      <c r="S8" s="20">
        <v>1</v>
      </c>
      <c r="T8" s="20">
        <v>345</v>
      </c>
      <c r="U8" s="20">
        <v>1</v>
      </c>
      <c r="V8" s="20">
        <v>280</v>
      </c>
      <c r="W8" s="20">
        <v>320</v>
      </c>
    </row>
    <row r="9" spans="1:23">
      <c r="A9" s="20" t="s">
        <v>357</v>
      </c>
      <c r="B9" s="20">
        <v>300</v>
      </c>
      <c r="C9" s="20">
        <v>90</v>
      </c>
      <c r="D9" s="20">
        <v>16</v>
      </c>
      <c r="E9" s="20">
        <v>8</v>
      </c>
      <c r="F9" s="20">
        <v>40.1</v>
      </c>
      <c r="G9" s="20">
        <v>5110</v>
      </c>
      <c r="H9" s="20">
        <v>72400000</v>
      </c>
      <c r="I9" s="20">
        <v>483000</v>
      </c>
      <c r="J9" s="20">
        <v>564000</v>
      </c>
      <c r="K9" s="20">
        <v>119</v>
      </c>
      <c r="L9" s="20">
        <v>4040000</v>
      </c>
      <c r="M9" s="20">
        <v>64400</v>
      </c>
      <c r="N9" s="20">
        <v>148000</v>
      </c>
      <c r="O9" s="20">
        <v>117000</v>
      </c>
      <c r="P9" s="20">
        <v>28.1</v>
      </c>
      <c r="Q9" s="20">
        <v>290000</v>
      </c>
      <c r="R9" s="20">
        <v>58200000000</v>
      </c>
      <c r="S9" s="20">
        <v>1</v>
      </c>
      <c r="T9" s="20">
        <v>268</v>
      </c>
      <c r="U9" s="20">
        <v>1</v>
      </c>
      <c r="V9" s="20">
        <v>300</v>
      </c>
      <c r="W9" s="20">
        <v>320</v>
      </c>
    </row>
    <row r="10" spans="1:23">
      <c r="A10" s="20" t="s">
        <v>356</v>
      </c>
      <c r="B10" s="20">
        <v>250</v>
      </c>
      <c r="C10" s="20">
        <v>90</v>
      </c>
      <c r="D10" s="20">
        <v>15</v>
      </c>
      <c r="E10" s="20">
        <v>8</v>
      </c>
      <c r="F10" s="20">
        <v>35.5</v>
      </c>
      <c r="G10" s="20">
        <v>4520</v>
      </c>
      <c r="H10" s="20">
        <v>45100000</v>
      </c>
      <c r="I10" s="20">
        <v>361000</v>
      </c>
      <c r="J10" s="20">
        <v>421000</v>
      </c>
      <c r="K10" s="20">
        <v>99.9</v>
      </c>
      <c r="L10" s="20">
        <v>3640000</v>
      </c>
      <c r="M10" s="20">
        <v>59300</v>
      </c>
      <c r="N10" s="20">
        <v>127000</v>
      </c>
      <c r="O10" s="20">
        <v>107000</v>
      </c>
      <c r="P10" s="20">
        <v>28.4</v>
      </c>
      <c r="Q10" s="20">
        <v>238000</v>
      </c>
      <c r="R10" s="73">
        <v>35900000000</v>
      </c>
      <c r="S10" s="20">
        <v>1</v>
      </c>
      <c r="T10" s="20">
        <v>220</v>
      </c>
      <c r="U10" s="20">
        <v>1</v>
      </c>
      <c r="V10" s="20">
        <v>300</v>
      </c>
      <c r="W10" s="20">
        <v>320</v>
      </c>
    </row>
    <row r="11" spans="1:23">
      <c r="A11" s="20" t="s">
        <v>355</v>
      </c>
      <c r="B11" s="20">
        <v>230</v>
      </c>
      <c r="C11" s="20">
        <v>75</v>
      </c>
      <c r="D11" s="20">
        <v>12</v>
      </c>
      <c r="E11" s="20">
        <v>6.5</v>
      </c>
      <c r="F11" s="20">
        <v>25.1</v>
      </c>
      <c r="G11" s="20">
        <v>3200</v>
      </c>
      <c r="H11" s="20">
        <v>26800000</v>
      </c>
      <c r="I11" s="20">
        <v>233000</v>
      </c>
      <c r="J11" s="20">
        <v>271000</v>
      </c>
      <c r="K11" s="20">
        <v>91.4</v>
      </c>
      <c r="L11" s="20">
        <v>1760000</v>
      </c>
      <c r="M11" s="20">
        <v>33600</v>
      </c>
      <c r="N11" s="20">
        <v>77800</v>
      </c>
      <c r="O11" s="20">
        <v>61000</v>
      </c>
      <c r="P11" s="20">
        <v>23.5</v>
      </c>
      <c r="Q11" s="20">
        <v>108000</v>
      </c>
      <c r="R11" s="20">
        <v>15000000000</v>
      </c>
      <c r="S11" s="20">
        <v>1</v>
      </c>
      <c r="T11" s="20">
        <v>206</v>
      </c>
      <c r="U11" s="20">
        <v>1</v>
      </c>
      <c r="V11" s="74">
        <v>300</v>
      </c>
      <c r="W11" s="74">
        <v>320</v>
      </c>
    </row>
    <row r="12" spans="1:23">
      <c r="A12" s="20" t="s">
        <v>354</v>
      </c>
      <c r="B12" s="20">
        <v>200</v>
      </c>
      <c r="C12" s="20">
        <v>75</v>
      </c>
      <c r="D12" s="20">
        <v>12</v>
      </c>
      <c r="E12" s="20">
        <v>6</v>
      </c>
      <c r="F12" s="20">
        <v>22.9</v>
      </c>
      <c r="G12" s="20">
        <v>2920</v>
      </c>
      <c r="H12" s="20">
        <v>19100000</v>
      </c>
      <c r="I12" s="20">
        <v>191000</v>
      </c>
      <c r="J12" s="20">
        <v>221000</v>
      </c>
      <c r="K12" s="20">
        <v>80.900000000000006</v>
      </c>
      <c r="L12" s="20">
        <v>1650000</v>
      </c>
      <c r="M12" s="20">
        <v>32700</v>
      </c>
      <c r="N12" s="20">
        <v>67800</v>
      </c>
      <c r="O12" s="20">
        <v>58900</v>
      </c>
      <c r="P12" s="20">
        <v>23.8</v>
      </c>
      <c r="Q12" s="20">
        <v>101000</v>
      </c>
      <c r="R12" s="20">
        <v>10600000000</v>
      </c>
      <c r="S12" s="20">
        <v>1</v>
      </c>
      <c r="T12" s="20">
        <v>176</v>
      </c>
      <c r="U12" s="20">
        <v>1</v>
      </c>
      <c r="V12" s="74">
        <v>300</v>
      </c>
      <c r="W12" s="74">
        <v>320</v>
      </c>
    </row>
    <row r="13" spans="1:23">
      <c r="A13" s="20" t="s">
        <v>353</v>
      </c>
      <c r="B13" s="20">
        <v>180</v>
      </c>
      <c r="C13" s="20">
        <v>75</v>
      </c>
      <c r="D13" s="20">
        <v>11</v>
      </c>
      <c r="E13" s="20">
        <v>6</v>
      </c>
      <c r="F13" s="20">
        <v>20.9</v>
      </c>
      <c r="G13" s="20">
        <v>2660</v>
      </c>
      <c r="H13" s="20">
        <v>14100000</v>
      </c>
      <c r="I13" s="20">
        <v>157000</v>
      </c>
      <c r="J13" s="20">
        <v>182000</v>
      </c>
      <c r="K13" s="20">
        <v>72.900000000000006</v>
      </c>
      <c r="L13" s="20">
        <v>1510000</v>
      </c>
      <c r="M13" s="20">
        <v>29900</v>
      </c>
      <c r="N13" s="20">
        <v>61500</v>
      </c>
      <c r="O13" s="20">
        <v>53800</v>
      </c>
      <c r="P13" s="20">
        <v>23.8</v>
      </c>
      <c r="Q13" s="20">
        <v>81400</v>
      </c>
      <c r="R13" s="20">
        <v>7820000000</v>
      </c>
      <c r="S13" s="20">
        <v>1</v>
      </c>
      <c r="T13" s="20">
        <v>158</v>
      </c>
      <c r="U13" s="20">
        <v>1</v>
      </c>
      <c r="V13" s="74">
        <v>300</v>
      </c>
      <c r="W13" s="74">
        <v>320</v>
      </c>
    </row>
    <row r="14" spans="1:23">
      <c r="A14" s="20" t="s">
        <v>352</v>
      </c>
      <c r="B14" s="20">
        <v>150</v>
      </c>
      <c r="C14" s="20">
        <v>75</v>
      </c>
      <c r="D14" s="20">
        <v>9.5</v>
      </c>
      <c r="E14" s="20">
        <v>6</v>
      </c>
      <c r="F14" s="20">
        <v>17.7</v>
      </c>
      <c r="G14" s="20">
        <v>2250</v>
      </c>
      <c r="H14" s="20">
        <v>8340000</v>
      </c>
      <c r="I14" s="20">
        <v>111000</v>
      </c>
      <c r="J14" s="20">
        <v>129000</v>
      </c>
      <c r="K14" s="20">
        <v>60.8</v>
      </c>
      <c r="L14" s="20">
        <v>1290000</v>
      </c>
      <c r="M14" s="20">
        <v>25700</v>
      </c>
      <c r="N14" s="20">
        <v>51600</v>
      </c>
      <c r="O14" s="20">
        <v>46000</v>
      </c>
      <c r="P14" s="20">
        <v>23.9</v>
      </c>
      <c r="Q14" s="20">
        <v>54900</v>
      </c>
      <c r="R14" s="20">
        <v>4590000000</v>
      </c>
      <c r="S14" s="20">
        <v>1</v>
      </c>
      <c r="T14" s="20">
        <v>131</v>
      </c>
      <c r="U14" s="20">
        <v>1</v>
      </c>
      <c r="V14" s="20">
        <v>320</v>
      </c>
      <c r="W14" s="74">
        <v>320</v>
      </c>
    </row>
    <row r="15" spans="1:23">
      <c r="A15" s="20" t="s">
        <v>351</v>
      </c>
      <c r="B15" s="20">
        <v>125</v>
      </c>
      <c r="C15" s="20">
        <v>65</v>
      </c>
      <c r="D15" s="20">
        <v>7.5</v>
      </c>
      <c r="E15" s="20">
        <v>4.7</v>
      </c>
      <c r="F15" s="20">
        <v>11.9</v>
      </c>
      <c r="G15" s="20">
        <v>1520</v>
      </c>
      <c r="H15" s="20">
        <v>3970000</v>
      </c>
      <c r="I15" s="20">
        <v>63500</v>
      </c>
      <c r="J15" s="20">
        <v>73000</v>
      </c>
      <c r="K15" s="20">
        <v>51.1</v>
      </c>
      <c r="L15" s="20">
        <v>658000</v>
      </c>
      <c r="M15" s="20">
        <v>15200</v>
      </c>
      <c r="N15" s="20">
        <v>30200</v>
      </c>
      <c r="O15" s="20">
        <v>27200</v>
      </c>
      <c r="P15" s="20">
        <v>20.8</v>
      </c>
      <c r="Q15" s="20">
        <v>23100</v>
      </c>
      <c r="R15" s="20">
        <v>1640000000</v>
      </c>
      <c r="S15" s="20">
        <v>1</v>
      </c>
      <c r="T15" s="20">
        <v>110</v>
      </c>
      <c r="U15" s="20">
        <v>1</v>
      </c>
      <c r="V15" s="20">
        <v>320</v>
      </c>
      <c r="W15" s="74">
        <v>320</v>
      </c>
    </row>
    <row r="16" spans="1:23">
      <c r="A16" s="20" t="s">
        <v>350</v>
      </c>
      <c r="B16" s="20">
        <v>100</v>
      </c>
      <c r="C16" s="20">
        <v>50</v>
      </c>
      <c r="D16" s="20">
        <v>6.7</v>
      </c>
      <c r="E16" s="20">
        <v>4.2</v>
      </c>
      <c r="F16" s="20">
        <v>8.31</v>
      </c>
      <c r="G16" s="20">
        <v>1060</v>
      </c>
      <c r="H16" s="20">
        <v>1740000</v>
      </c>
      <c r="I16" s="20">
        <v>34700</v>
      </c>
      <c r="J16" s="20">
        <v>40300</v>
      </c>
      <c r="K16" s="20">
        <v>40.4</v>
      </c>
      <c r="L16" s="20">
        <v>267000</v>
      </c>
      <c r="M16" s="20">
        <v>8010</v>
      </c>
      <c r="N16" s="20">
        <v>16000</v>
      </c>
      <c r="O16" s="20">
        <v>14400</v>
      </c>
      <c r="P16" s="20">
        <v>15.9</v>
      </c>
      <c r="Q16" s="20">
        <v>13200</v>
      </c>
      <c r="R16" s="20">
        <v>424000000</v>
      </c>
      <c r="S16" s="20">
        <v>1</v>
      </c>
      <c r="T16" s="20">
        <v>86.6</v>
      </c>
      <c r="U16" s="20">
        <v>1</v>
      </c>
      <c r="V16" s="20">
        <v>320</v>
      </c>
      <c r="W16" s="74">
        <v>320</v>
      </c>
    </row>
    <row r="17" spans="1:23">
      <c r="A17" s="17" t="s">
        <v>140</v>
      </c>
      <c r="B17" s="20">
        <v>100</v>
      </c>
      <c r="C17" s="20">
        <v>10</v>
      </c>
      <c r="D17" s="20">
        <v>10</v>
      </c>
      <c r="E17" s="20">
        <v>10</v>
      </c>
      <c r="G17" s="37">
        <v>3400</v>
      </c>
      <c r="H17" s="46">
        <v>833333.33333333337</v>
      </c>
      <c r="I17" s="46">
        <v>16666.666666666668</v>
      </c>
      <c r="J17" s="46">
        <v>36000</v>
      </c>
      <c r="K17" s="46">
        <v>8.3333333333333339</v>
      </c>
      <c r="L17" s="46">
        <v>8333.3333333333339</v>
      </c>
      <c r="M17" s="46">
        <v>1666.6666666666667</v>
      </c>
      <c r="N17" s="46">
        <v>20250</v>
      </c>
      <c r="O17" s="46">
        <v>0.83333333333333337</v>
      </c>
      <c r="P17" s="20">
        <v>28100</v>
      </c>
      <c r="Q17" s="46">
        <v>31200</v>
      </c>
      <c r="R17" s="20">
        <v>0</v>
      </c>
      <c r="V17" s="20">
        <v>320</v>
      </c>
      <c r="W17" s="74">
        <v>320</v>
      </c>
    </row>
    <row r="18" spans="1:23">
      <c r="A18" s="20" t="s">
        <v>349</v>
      </c>
      <c r="B18" s="20">
        <v>75</v>
      </c>
      <c r="C18" s="20">
        <v>40</v>
      </c>
      <c r="D18" s="20">
        <v>6.1</v>
      </c>
      <c r="E18" s="20">
        <v>3.8</v>
      </c>
      <c r="F18" s="20">
        <v>5.9</v>
      </c>
      <c r="G18" s="20">
        <v>754</v>
      </c>
      <c r="H18" s="20">
        <v>683000</v>
      </c>
      <c r="I18" s="20">
        <v>18200</v>
      </c>
      <c r="J18" s="20">
        <v>21400</v>
      </c>
      <c r="K18" s="20">
        <v>30.1</v>
      </c>
      <c r="L18" s="20">
        <v>120000</v>
      </c>
      <c r="M18" s="20">
        <v>4560</v>
      </c>
      <c r="N18" s="20">
        <v>8710</v>
      </c>
      <c r="O18" s="20">
        <v>8200</v>
      </c>
      <c r="P18" s="20">
        <v>12.6</v>
      </c>
      <c r="Q18" s="20">
        <v>8130</v>
      </c>
      <c r="S18" s="20">
        <v>1</v>
      </c>
      <c r="T18" s="20">
        <v>62.8</v>
      </c>
      <c r="U18" s="20">
        <v>1</v>
      </c>
      <c r="V18" s="20">
        <v>320</v>
      </c>
      <c r="W18" s="74">
        <v>320</v>
      </c>
    </row>
  </sheetData>
  <mergeCells count="1">
    <mergeCell ref="S5:W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767D7-66C7-42E9-939C-96E996B99225}">
  <dimension ref="A1:AN96"/>
  <sheetViews>
    <sheetView workbookViewId="0">
      <selection activeCell="AA14" sqref="AA14"/>
    </sheetView>
  </sheetViews>
  <sheetFormatPr defaultRowHeight="14.4"/>
  <cols>
    <col min="1" max="1" width="17.109375" style="74" customWidth="1"/>
    <col min="2" max="2" width="12.6640625" bestFit="1" customWidth="1"/>
    <col min="3" max="3" width="12.6640625" style="74" bestFit="1" customWidth="1"/>
    <col min="4" max="7" width="12.6640625" bestFit="1" customWidth="1"/>
    <col min="8" max="8" width="12.6640625" style="74" bestFit="1" customWidth="1"/>
    <col min="9" max="9" width="12.6640625" style="74" customWidth="1"/>
    <col min="10" max="13" width="12.6640625" bestFit="1" customWidth="1"/>
    <col min="14" max="16" width="13.6640625" bestFit="1" customWidth="1"/>
    <col min="17" max="17" width="13.6640625" style="74" customWidth="1"/>
    <col min="18" max="19" width="13.6640625" bestFit="1" customWidth="1"/>
    <col min="20" max="20" width="13.6640625" style="74" bestFit="1" customWidth="1"/>
    <col min="21" max="21" width="13.6640625" bestFit="1" customWidth="1"/>
    <col min="23" max="25" width="13.6640625" bestFit="1" customWidth="1"/>
    <col min="26" max="26" width="13.6640625" customWidth="1"/>
    <col min="27" max="27" width="13.6640625" style="74" customWidth="1"/>
    <col min="28" max="31" width="13.6640625" bestFit="1" customWidth="1"/>
    <col min="32" max="32" width="13.6640625" style="74" customWidth="1"/>
    <col min="33" max="34" width="13.6640625" bestFit="1" customWidth="1"/>
    <col min="35" max="35" width="13.6640625" style="74" customWidth="1"/>
    <col min="36" max="36" width="13.6640625" bestFit="1" customWidth="1"/>
  </cols>
  <sheetData>
    <row r="1" spans="1:36" s="74" customFormat="1">
      <c r="A1" s="21"/>
      <c r="B1" s="22"/>
      <c r="E1" s="22" t="s">
        <v>362</v>
      </c>
      <c r="G1" s="22"/>
      <c r="H1" s="22"/>
      <c r="I1" s="22"/>
      <c r="J1" s="22"/>
      <c r="K1" s="22"/>
      <c r="P1" s="22" t="s">
        <v>361</v>
      </c>
      <c r="Q1" s="22"/>
      <c r="R1" s="22"/>
      <c r="S1" s="22"/>
      <c r="T1" s="22"/>
      <c r="U1" s="22"/>
      <c r="W1" s="22"/>
      <c r="X1" s="22"/>
      <c r="Y1" s="22"/>
      <c r="Z1" s="22"/>
      <c r="AA1" s="22"/>
      <c r="AB1" s="22"/>
      <c r="AC1" s="23"/>
    </row>
    <row r="2" spans="1:36" s="74" customFormat="1">
      <c r="A2" s="22"/>
      <c r="B2" s="22"/>
      <c r="E2" s="22"/>
      <c r="G2" s="22"/>
      <c r="H2" s="22"/>
      <c r="I2" s="22"/>
      <c r="J2" s="22"/>
      <c r="K2" s="22"/>
      <c r="P2" s="22"/>
      <c r="Q2" s="22"/>
      <c r="R2" s="22"/>
      <c r="S2" s="22"/>
      <c r="T2" s="22"/>
      <c r="U2" s="22"/>
      <c r="W2" s="22"/>
      <c r="X2" s="22"/>
      <c r="Y2" s="22"/>
      <c r="Z2" s="22"/>
      <c r="AA2" s="22"/>
      <c r="AB2" s="22"/>
      <c r="AC2" s="23"/>
    </row>
    <row r="3" spans="1:36" s="74" customFormat="1">
      <c r="A3" s="24" t="s">
        <v>7</v>
      </c>
      <c r="B3" s="24"/>
      <c r="E3" s="24"/>
      <c r="G3" s="24"/>
      <c r="H3" s="24"/>
      <c r="I3" s="24"/>
      <c r="J3" s="24"/>
      <c r="K3" s="57" t="s">
        <v>360</v>
      </c>
      <c r="P3" s="103" t="s">
        <v>195</v>
      </c>
      <c r="Q3" s="103"/>
      <c r="R3" s="103"/>
      <c r="S3" s="103"/>
      <c r="T3" s="114"/>
      <c r="U3" s="103"/>
      <c r="W3" s="26"/>
      <c r="X3" s="103"/>
      <c r="Y3" s="103"/>
      <c r="Z3" s="103"/>
      <c r="AA3" s="103"/>
      <c r="AB3" s="103" t="s">
        <v>194</v>
      </c>
      <c r="AC3" s="27" t="s">
        <v>194</v>
      </c>
    </row>
    <row r="4" spans="1:36" s="74" customFormat="1">
      <c r="A4" s="100"/>
      <c r="B4" s="100"/>
      <c r="E4" s="100"/>
      <c r="G4" s="100"/>
      <c r="H4" s="100"/>
      <c r="I4" s="100"/>
      <c r="J4" s="100"/>
      <c r="K4" s="58" t="s">
        <v>359</v>
      </c>
      <c r="P4" s="67" t="s">
        <v>192</v>
      </c>
      <c r="Q4" s="67"/>
      <c r="R4" s="72" t="s">
        <v>16</v>
      </c>
      <c r="S4" s="72"/>
      <c r="T4" s="113"/>
      <c r="U4" s="102"/>
      <c r="W4" s="72"/>
      <c r="X4" s="72"/>
      <c r="Y4" s="72"/>
      <c r="Z4" s="72"/>
      <c r="AA4" s="105"/>
      <c r="AB4" s="67" t="s">
        <v>191</v>
      </c>
      <c r="AC4" s="101" t="s">
        <v>602</v>
      </c>
    </row>
    <row r="5" spans="1:36" s="74" customFormat="1">
      <c r="A5" s="100"/>
      <c r="B5" s="100"/>
      <c r="E5" s="100"/>
      <c r="G5" s="100"/>
      <c r="H5" s="100"/>
      <c r="I5" s="100"/>
      <c r="J5" s="100"/>
      <c r="K5" s="58" t="s">
        <v>358</v>
      </c>
      <c r="P5" s="67" t="s">
        <v>190</v>
      </c>
      <c r="Q5" s="67"/>
      <c r="R5" s="67"/>
      <c r="S5" s="67"/>
      <c r="T5" s="67"/>
      <c r="U5" s="67"/>
      <c r="W5" s="67"/>
      <c r="X5" s="67"/>
      <c r="Y5" s="67"/>
      <c r="Z5" s="67"/>
      <c r="AA5" s="67"/>
      <c r="AB5" s="67"/>
      <c r="AC5" s="101"/>
    </row>
    <row r="6" spans="1:36" s="74" customFormat="1">
      <c r="A6" s="31" t="s">
        <v>118</v>
      </c>
      <c r="B6" s="31" t="s">
        <v>9</v>
      </c>
      <c r="C6" s="74" t="s">
        <v>369</v>
      </c>
      <c r="D6" s="74" t="s">
        <v>370</v>
      </c>
      <c r="E6" s="31" t="s">
        <v>10</v>
      </c>
      <c r="G6" s="31" t="s">
        <v>12</v>
      </c>
      <c r="H6" s="31" t="s">
        <v>13</v>
      </c>
      <c r="I6" s="31" t="s">
        <v>18</v>
      </c>
      <c r="J6" s="31"/>
      <c r="K6" s="59" t="s">
        <v>119</v>
      </c>
      <c r="P6" s="102" t="s">
        <v>120</v>
      </c>
      <c r="Q6" s="102" t="s">
        <v>121</v>
      </c>
      <c r="R6" s="102" t="s">
        <v>122</v>
      </c>
      <c r="S6" s="102" t="s">
        <v>123</v>
      </c>
      <c r="T6" s="113" t="s">
        <v>810</v>
      </c>
      <c r="U6" s="102" t="s">
        <v>124</v>
      </c>
      <c r="V6" s="102" t="s">
        <v>125</v>
      </c>
      <c r="W6" s="102" t="s">
        <v>127</v>
      </c>
      <c r="X6" s="102" t="s">
        <v>128</v>
      </c>
      <c r="Z6" s="102" t="s">
        <v>129</v>
      </c>
      <c r="AA6" s="102" t="s">
        <v>17</v>
      </c>
      <c r="AC6" s="41" t="s">
        <v>494</v>
      </c>
      <c r="AD6" s="104" t="s">
        <v>130</v>
      </c>
      <c r="AE6" s="104" t="s">
        <v>606</v>
      </c>
      <c r="AF6" s="104" t="s">
        <v>604</v>
      </c>
      <c r="AH6" s="104" t="s">
        <v>606</v>
      </c>
      <c r="AI6" s="74" t="s">
        <v>605</v>
      </c>
    </row>
    <row r="7" spans="1:36">
      <c r="A7" s="35" t="s">
        <v>132</v>
      </c>
      <c r="B7" s="35" t="s">
        <v>133</v>
      </c>
      <c r="C7" s="74" t="s">
        <v>595</v>
      </c>
      <c r="D7" t="s">
        <v>802</v>
      </c>
      <c r="E7" s="35" t="s">
        <v>584</v>
      </c>
      <c r="F7" t="s">
        <v>596</v>
      </c>
      <c r="G7" s="35" t="s">
        <v>585</v>
      </c>
      <c r="H7" s="35" t="s">
        <v>695</v>
      </c>
      <c r="I7" s="35" t="s">
        <v>696</v>
      </c>
      <c r="J7" s="35" t="s">
        <v>586</v>
      </c>
      <c r="K7" s="60" t="s">
        <v>8</v>
      </c>
      <c r="L7" t="s">
        <v>597</v>
      </c>
      <c r="M7" t="s">
        <v>598</v>
      </c>
      <c r="N7" t="s">
        <v>599</v>
      </c>
      <c r="O7" t="s">
        <v>600</v>
      </c>
      <c r="P7" s="65" t="s">
        <v>134</v>
      </c>
      <c r="Q7" s="65" t="s">
        <v>697</v>
      </c>
      <c r="R7" s="65" t="s">
        <v>135</v>
      </c>
      <c r="S7" s="65" t="s">
        <v>136</v>
      </c>
      <c r="T7" s="65" t="s">
        <v>588</v>
      </c>
      <c r="U7" s="65" t="s">
        <v>811</v>
      </c>
      <c r="V7" t="s">
        <v>698</v>
      </c>
      <c r="W7" s="65" t="s">
        <v>699</v>
      </c>
      <c r="X7" s="65" t="s">
        <v>591</v>
      </c>
      <c r="Y7" s="65" t="s">
        <v>592</v>
      </c>
      <c r="Z7" s="65" t="s">
        <v>593</v>
      </c>
      <c r="AA7" s="65" t="s">
        <v>700</v>
      </c>
      <c r="AB7" s="65" t="s">
        <v>594</v>
      </c>
      <c r="AC7" s="42" t="s">
        <v>603</v>
      </c>
      <c r="AD7" t="s">
        <v>601</v>
      </c>
      <c r="AE7" t="s">
        <v>487</v>
      </c>
      <c r="AF7" s="74" t="s">
        <v>701</v>
      </c>
      <c r="AG7" t="s">
        <v>488</v>
      </c>
      <c r="AH7" t="s">
        <v>489</v>
      </c>
      <c r="AI7" s="74" t="s">
        <v>702</v>
      </c>
      <c r="AJ7" t="s">
        <v>490</v>
      </c>
    </row>
    <row r="8" spans="1:36">
      <c r="A8" s="95" t="s">
        <v>614</v>
      </c>
      <c r="B8" s="74">
        <v>50</v>
      </c>
      <c r="C8" s="95">
        <v>350</v>
      </c>
      <c r="D8" s="95">
        <v>350</v>
      </c>
      <c r="E8" s="74">
        <v>25</v>
      </c>
      <c r="F8" s="95" t="s">
        <v>491</v>
      </c>
      <c r="G8" s="74">
        <v>3</v>
      </c>
      <c r="H8" s="74">
        <v>3</v>
      </c>
      <c r="I8" s="74">
        <v>0</v>
      </c>
      <c r="J8" s="95" t="s">
        <v>492</v>
      </c>
      <c r="K8" s="74">
        <v>3.07</v>
      </c>
      <c r="L8" s="74">
        <v>0.14000000000000001</v>
      </c>
      <c r="M8" s="74">
        <v>45.5</v>
      </c>
      <c r="N8" s="74">
        <v>6.33</v>
      </c>
      <c r="O8" s="74">
        <v>14.7</v>
      </c>
      <c r="P8" s="74">
        <v>391</v>
      </c>
      <c r="Q8" s="74">
        <v>112000</v>
      </c>
      <c r="R8" s="74">
        <v>4470</v>
      </c>
      <c r="S8" s="74">
        <v>5860</v>
      </c>
      <c r="T8" s="74">
        <v>16.899999999999999</v>
      </c>
      <c r="U8" s="74">
        <v>16.899999999999999</v>
      </c>
      <c r="V8">
        <v>36700</v>
      </c>
      <c r="W8" s="74">
        <v>2930</v>
      </c>
      <c r="X8" s="74">
        <v>3560</v>
      </c>
      <c r="Y8" s="74">
        <v>3.56</v>
      </c>
      <c r="Z8" s="95">
        <v>9.69</v>
      </c>
      <c r="AA8" s="95">
        <v>96400</v>
      </c>
      <c r="AB8" s="74">
        <v>9.64E-2</v>
      </c>
      <c r="AC8" s="95" t="s">
        <v>498</v>
      </c>
      <c r="AD8" s="74">
        <v>1</v>
      </c>
      <c r="AE8" s="95" t="s">
        <v>494</v>
      </c>
      <c r="AF8" s="95">
        <v>5860</v>
      </c>
      <c r="AG8" s="74">
        <v>5.86</v>
      </c>
      <c r="AH8" s="95" t="s">
        <v>494</v>
      </c>
      <c r="AI8" s="95">
        <v>3560</v>
      </c>
      <c r="AJ8" s="74">
        <v>3.56</v>
      </c>
    </row>
    <row r="9" spans="1:36">
      <c r="A9" s="95" t="s">
        <v>615</v>
      </c>
      <c r="B9" s="74">
        <v>50</v>
      </c>
      <c r="C9" s="95">
        <v>350</v>
      </c>
      <c r="D9" s="95">
        <v>350</v>
      </c>
      <c r="E9" s="74">
        <v>25</v>
      </c>
      <c r="F9" s="95" t="s">
        <v>491</v>
      </c>
      <c r="G9" s="74">
        <v>2.5</v>
      </c>
      <c r="H9" s="74">
        <v>2.5</v>
      </c>
      <c r="I9" s="74">
        <v>0</v>
      </c>
      <c r="J9" s="95" t="s">
        <v>492</v>
      </c>
      <c r="K9" s="74">
        <v>2.62</v>
      </c>
      <c r="L9" s="74">
        <v>0.14099999999999999</v>
      </c>
      <c r="M9" s="74">
        <v>54</v>
      </c>
      <c r="N9" s="74">
        <v>8</v>
      </c>
      <c r="O9" s="74">
        <v>18</v>
      </c>
      <c r="P9" s="74">
        <v>334</v>
      </c>
      <c r="Q9" s="74">
        <v>98900</v>
      </c>
      <c r="R9" s="74">
        <v>3950</v>
      </c>
      <c r="S9" s="74">
        <v>5110</v>
      </c>
      <c r="T9" s="74">
        <v>17.2</v>
      </c>
      <c r="U9" s="74">
        <v>17.2</v>
      </c>
      <c r="V9">
        <v>32800</v>
      </c>
      <c r="W9" s="74">
        <v>2620</v>
      </c>
      <c r="X9" s="74">
        <v>3120</v>
      </c>
      <c r="Y9" s="74">
        <v>3.12</v>
      </c>
      <c r="Z9" s="95">
        <v>9.91</v>
      </c>
      <c r="AA9" s="95">
        <v>84300</v>
      </c>
      <c r="AB9" s="74">
        <v>8.43E-2</v>
      </c>
      <c r="AC9" s="95" t="s">
        <v>529</v>
      </c>
      <c r="AD9" s="74">
        <v>1</v>
      </c>
      <c r="AE9" s="95" t="s">
        <v>494</v>
      </c>
      <c r="AF9" s="95">
        <v>5110</v>
      </c>
      <c r="AG9" s="74">
        <v>5.1100000000000003</v>
      </c>
      <c r="AH9" s="95" t="s">
        <v>494</v>
      </c>
      <c r="AI9" s="95">
        <v>3120</v>
      </c>
      <c r="AJ9" s="74">
        <v>3.12</v>
      </c>
    </row>
    <row r="10" spans="1:36">
      <c r="A10" s="95" t="s">
        <v>616</v>
      </c>
      <c r="B10" s="74">
        <v>50</v>
      </c>
      <c r="C10" s="95">
        <v>350</v>
      </c>
      <c r="D10" s="95">
        <v>350</v>
      </c>
      <c r="E10" s="74">
        <v>25</v>
      </c>
      <c r="F10" s="95" t="s">
        <v>491</v>
      </c>
      <c r="G10" s="74">
        <v>2</v>
      </c>
      <c r="H10" s="74">
        <v>2</v>
      </c>
      <c r="I10" s="74">
        <v>0</v>
      </c>
      <c r="J10" s="95" t="s">
        <v>492</v>
      </c>
      <c r="K10" s="74">
        <v>2.15</v>
      </c>
      <c r="L10" s="74">
        <v>0.14299999999999999</v>
      </c>
      <c r="M10" s="74">
        <v>66.599999999999994</v>
      </c>
      <c r="N10" s="74">
        <v>10.5</v>
      </c>
      <c r="O10" s="74">
        <v>23</v>
      </c>
      <c r="P10" s="74">
        <v>274</v>
      </c>
      <c r="Q10" s="74">
        <v>83800</v>
      </c>
      <c r="R10" s="74">
        <v>3350</v>
      </c>
      <c r="S10" s="74">
        <v>4260</v>
      </c>
      <c r="T10" s="74">
        <v>17.5</v>
      </c>
      <c r="U10" s="74">
        <v>17.5</v>
      </c>
      <c r="V10">
        <v>28100</v>
      </c>
      <c r="W10" s="74">
        <v>2250</v>
      </c>
      <c r="X10" s="74">
        <v>2620</v>
      </c>
      <c r="Y10" s="74">
        <v>2.62</v>
      </c>
      <c r="Z10" s="95">
        <v>10.1</v>
      </c>
      <c r="AA10" s="95">
        <v>70600</v>
      </c>
      <c r="AB10" s="74">
        <v>7.0599999999999996E-2</v>
      </c>
      <c r="AC10" s="95" t="s">
        <v>530</v>
      </c>
      <c r="AD10" s="74">
        <v>1</v>
      </c>
      <c r="AE10" s="95" t="s">
        <v>494</v>
      </c>
      <c r="AF10" s="95">
        <v>4260</v>
      </c>
      <c r="AG10" s="74">
        <v>4.26</v>
      </c>
      <c r="AH10" s="95" t="s">
        <v>494</v>
      </c>
      <c r="AI10" s="95">
        <v>2620</v>
      </c>
      <c r="AJ10" s="74">
        <v>2.62</v>
      </c>
    </row>
    <row r="11" spans="1:36">
      <c r="A11" s="95" t="s">
        <v>617</v>
      </c>
      <c r="B11" s="74">
        <v>50</v>
      </c>
      <c r="C11" s="95">
        <v>350</v>
      </c>
      <c r="D11" s="95">
        <v>350</v>
      </c>
      <c r="E11" s="74">
        <v>25</v>
      </c>
      <c r="F11" s="95" t="s">
        <v>491</v>
      </c>
      <c r="G11" s="74">
        <v>1.6</v>
      </c>
      <c r="H11" s="74">
        <v>1.6</v>
      </c>
      <c r="I11" s="74">
        <v>0</v>
      </c>
      <c r="J11" s="95" t="s">
        <v>492</v>
      </c>
      <c r="K11" s="74">
        <v>1.75</v>
      </c>
      <c r="L11" s="74">
        <v>0.14499999999999999</v>
      </c>
      <c r="M11" s="74">
        <v>82.5</v>
      </c>
      <c r="N11" s="74">
        <v>13.6</v>
      </c>
      <c r="O11" s="74">
        <v>29.3</v>
      </c>
      <c r="P11" s="74">
        <v>223</v>
      </c>
      <c r="Q11" s="74">
        <v>70200</v>
      </c>
      <c r="R11" s="74">
        <v>2810</v>
      </c>
      <c r="S11" s="74">
        <v>3530</v>
      </c>
      <c r="T11" s="74">
        <v>17.7</v>
      </c>
      <c r="U11" s="74">
        <v>17.7</v>
      </c>
      <c r="V11">
        <v>23700</v>
      </c>
      <c r="W11" s="74">
        <v>1900</v>
      </c>
      <c r="X11" s="74">
        <v>2170</v>
      </c>
      <c r="Y11" s="74">
        <v>2.17</v>
      </c>
      <c r="Z11" s="95">
        <v>10.3</v>
      </c>
      <c r="AA11" s="95">
        <v>58500</v>
      </c>
      <c r="AB11" s="74">
        <v>5.8500000000000003E-2</v>
      </c>
      <c r="AC11" s="95" t="s">
        <v>531</v>
      </c>
      <c r="AD11" s="74">
        <v>1</v>
      </c>
      <c r="AE11" s="95" t="s">
        <v>494</v>
      </c>
      <c r="AF11" s="95">
        <v>3530</v>
      </c>
      <c r="AG11" s="74">
        <v>3.53</v>
      </c>
      <c r="AH11" s="95" t="s">
        <v>495</v>
      </c>
      <c r="AI11" s="95">
        <v>2050</v>
      </c>
      <c r="AJ11" s="74">
        <v>2.0499999999999998</v>
      </c>
    </row>
    <row r="12" spans="1:36">
      <c r="A12" s="95" t="s">
        <v>618</v>
      </c>
      <c r="B12" s="74">
        <v>50</v>
      </c>
      <c r="C12" s="95">
        <v>350</v>
      </c>
      <c r="D12" s="95">
        <v>350</v>
      </c>
      <c r="E12" s="74">
        <v>20</v>
      </c>
      <c r="F12" s="95" t="s">
        <v>491</v>
      </c>
      <c r="G12" s="74">
        <v>3</v>
      </c>
      <c r="H12" s="74">
        <v>3</v>
      </c>
      <c r="I12" s="74">
        <v>0</v>
      </c>
      <c r="J12" s="95" t="s">
        <v>492</v>
      </c>
      <c r="K12" s="74">
        <v>2.83</v>
      </c>
      <c r="L12" s="74">
        <v>0.13</v>
      </c>
      <c r="M12" s="74">
        <v>45.8</v>
      </c>
      <c r="N12" s="74">
        <v>4.67</v>
      </c>
      <c r="O12" s="74">
        <v>14.7</v>
      </c>
      <c r="P12" s="74">
        <v>361</v>
      </c>
      <c r="Q12" s="74">
        <v>95100</v>
      </c>
      <c r="R12" s="74">
        <v>3810</v>
      </c>
      <c r="S12" s="74">
        <v>5160</v>
      </c>
      <c r="T12" s="74">
        <v>16.2</v>
      </c>
      <c r="U12" s="74">
        <v>16.2</v>
      </c>
      <c r="V12">
        <v>21200</v>
      </c>
      <c r="W12" s="74">
        <v>2120</v>
      </c>
      <c r="X12" s="74">
        <v>2630</v>
      </c>
      <c r="Y12" s="74">
        <v>2.63</v>
      </c>
      <c r="Z12" s="95">
        <v>7.67</v>
      </c>
      <c r="AA12" s="95">
        <v>62000</v>
      </c>
      <c r="AB12" s="74">
        <v>6.2E-2</v>
      </c>
      <c r="AC12" s="95" t="s">
        <v>500</v>
      </c>
      <c r="AD12" s="74">
        <v>1</v>
      </c>
      <c r="AE12" s="95" t="s">
        <v>494</v>
      </c>
      <c r="AF12" s="95">
        <v>5160</v>
      </c>
      <c r="AG12" s="74">
        <v>5.16</v>
      </c>
      <c r="AH12" s="95" t="s">
        <v>494</v>
      </c>
      <c r="AI12" s="95">
        <v>2630</v>
      </c>
      <c r="AJ12" s="74">
        <v>2.63</v>
      </c>
    </row>
    <row r="13" spans="1:36">
      <c r="A13" s="95" t="s">
        <v>619</v>
      </c>
      <c r="B13" s="74">
        <v>50</v>
      </c>
      <c r="C13" s="95">
        <v>350</v>
      </c>
      <c r="D13" s="95">
        <v>350</v>
      </c>
      <c r="E13" s="74">
        <v>20</v>
      </c>
      <c r="F13" s="95" t="s">
        <v>491</v>
      </c>
      <c r="G13" s="74">
        <v>2.5</v>
      </c>
      <c r="H13" s="74">
        <v>2.5</v>
      </c>
      <c r="I13" s="74">
        <v>0</v>
      </c>
      <c r="J13" s="95" t="s">
        <v>492</v>
      </c>
      <c r="K13" s="74">
        <v>2.42</v>
      </c>
      <c r="L13" s="74">
        <v>0.13100000000000001</v>
      </c>
      <c r="M13" s="74">
        <v>54.2</v>
      </c>
      <c r="N13" s="74">
        <v>6</v>
      </c>
      <c r="O13" s="74">
        <v>18</v>
      </c>
      <c r="P13" s="74">
        <v>309</v>
      </c>
      <c r="Q13" s="74">
        <v>84800</v>
      </c>
      <c r="R13" s="74">
        <v>3390</v>
      </c>
      <c r="S13" s="74">
        <v>4510</v>
      </c>
      <c r="T13" s="74">
        <v>16.600000000000001</v>
      </c>
      <c r="U13" s="74">
        <v>16.600000000000001</v>
      </c>
      <c r="V13">
        <v>19200</v>
      </c>
      <c r="W13" s="74">
        <v>1920</v>
      </c>
      <c r="X13" s="74">
        <v>2320</v>
      </c>
      <c r="Y13" s="74">
        <v>2.3199999999999998</v>
      </c>
      <c r="Z13" s="95">
        <v>7.89</v>
      </c>
      <c r="AA13" s="95">
        <v>55000</v>
      </c>
      <c r="AB13" s="74">
        <v>5.5E-2</v>
      </c>
      <c r="AC13" s="95" t="s">
        <v>532</v>
      </c>
      <c r="AD13" s="74">
        <v>1</v>
      </c>
      <c r="AE13" s="95" t="s">
        <v>494</v>
      </c>
      <c r="AF13" s="95">
        <v>4510</v>
      </c>
      <c r="AG13" s="74">
        <v>4.51</v>
      </c>
      <c r="AH13" s="95" t="s">
        <v>494</v>
      </c>
      <c r="AI13" s="95">
        <v>2320</v>
      </c>
      <c r="AJ13" s="74">
        <v>2.3199999999999998</v>
      </c>
    </row>
    <row r="14" spans="1:36">
      <c r="A14" s="95" t="s">
        <v>620</v>
      </c>
      <c r="B14" s="74">
        <v>50</v>
      </c>
      <c r="C14" s="95">
        <v>350</v>
      </c>
      <c r="D14" s="95">
        <v>350</v>
      </c>
      <c r="E14" s="74">
        <v>20</v>
      </c>
      <c r="F14" s="95" t="s">
        <v>491</v>
      </c>
      <c r="G14" s="74">
        <v>2</v>
      </c>
      <c r="H14" s="74">
        <v>2</v>
      </c>
      <c r="I14" s="74">
        <v>0</v>
      </c>
      <c r="J14" s="95" t="s">
        <v>492</v>
      </c>
      <c r="K14" s="74">
        <v>1.99</v>
      </c>
      <c r="L14" s="74">
        <v>0.13300000000000001</v>
      </c>
      <c r="M14" s="74">
        <v>66.8</v>
      </c>
      <c r="N14" s="74">
        <v>8</v>
      </c>
      <c r="O14" s="74">
        <v>23</v>
      </c>
      <c r="P14" s="74">
        <v>254</v>
      </c>
      <c r="Q14" s="74">
        <v>72300</v>
      </c>
      <c r="R14" s="74">
        <v>2890</v>
      </c>
      <c r="S14" s="74">
        <v>3780</v>
      </c>
      <c r="T14" s="74">
        <v>16.899999999999999</v>
      </c>
      <c r="U14" s="74">
        <v>16.899999999999999</v>
      </c>
      <c r="V14">
        <v>16700</v>
      </c>
      <c r="W14" s="74">
        <v>1670</v>
      </c>
      <c r="X14" s="74">
        <v>1960</v>
      </c>
      <c r="Y14" s="74">
        <v>1.96</v>
      </c>
      <c r="Z14" s="95">
        <v>8.11</v>
      </c>
      <c r="AA14" s="95">
        <v>46600</v>
      </c>
      <c r="AB14" s="74">
        <v>4.6600000000000003E-2</v>
      </c>
      <c r="AC14" s="95" t="s">
        <v>533</v>
      </c>
      <c r="AD14" s="74">
        <v>1</v>
      </c>
      <c r="AE14" s="95" t="s">
        <v>494</v>
      </c>
      <c r="AF14" s="95">
        <v>3780</v>
      </c>
      <c r="AG14" s="74">
        <v>3.78</v>
      </c>
      <c r="AH14" s="95" t="s">
        <v>494</v>
      </c>
      <c r="AI14" s="95">
        <v>1960</v>
      </c>
      <c r="AJ14" s="74">
        <v>1.96</v>
      </c>
    </row>
    <row r="15" spans="1:36">
      <c r="A15" s="95" t="s">
        <v>621</v>
      </c>
      <c r="B15" s="74">
        <v>50</v>
      </c>
      <c r="C15" s="95">
        <v>350</v>
      </c>
      <c r="D15" s="95">
        <v>350</v>
      </c>
      <c r="E15" s="74">
        <v>20</v>
      </c>
      <c r="F15" s="95" t="s">
        <v>491</v>
      </c>
      <c r="G15" s="74">
        <v>1.6</v>
      </c>
      <c r="H15" s="74">
        <v>1.6</v>
      </c>
      <c r="I15" s="74">
        <v>0</v>
      </c>
      <c r="J15" s="95" t="s">
        <v>492</v>
      </c>
      <c r="K15" s="74">
        <v>1.63</v>
      </c>
      <c r="L15" s="74">
        <v>0.13500000000000001</v>
      </c>
      <c r="M15" s="74">
        <v>82.7</v>
      </c>
      <c r="N15" s="74">
        <v>10.5</v>
      </c>
      <c r="O15" s="74">
        <v>29.3</v>
      </c>
      <c r="P15" s="74">
        <v>207</v>
      </c>
      <c r="Q15" s="74">
        <v>60800</v>
      </c>
      <c r="R15" s="74">
        <v>2430</v>
      </c>
      <c r="S15" s="74">
        <v>3140</v>
      </c>
      <c r="T15" s="74">
        <v>17.100000000000001</v>
      </c>
      <c r="U15" s="74">
        <v>17.100000000000001</v>
      </c>
      <c r="V15">
        <v>14200</v>
      </c>
      <c r="W15" s="74">
        <v>1420</v>
      </c>
      <c r="X15" s="74">
        <v>1630</v>
      </c>
      <c r="Y15" s="74">
        <v>1.63</v>
      </c>
      <c r="Z15" s="95">
        <v>8.2899999999999991</v>
      </c>
      <c r="AA15" s="95">
        <v>38900</v>
      </c>
      <c r="AB15" s="74">
        <v>3.8899999999999997E-2</v>
      </c>
      <c r="AC15" s="95" t="s">
        <v>534</v>
      </c>
      <c r="AD15" s="74">
        <v>1</v>
      </c>
      <c r="AE15" s="95" t="s">
        <v>494</v>
      </c>
      <c r="AF15" s="95">
        <v>3140</v>
      </c>
      <c r="AG15" s="74">
        <v>3.14</v>
      </c>
      <c r="AH15" s="95" t="s">
        <v>495</v>
      </c>
      <c r="AI15" s="95">
        <v>1540</v>
      </c>
      <c r="AJ15" s="74">
        <v>1.54</v>
      </c>
    </row>
    <row r="16" spans="1:36">
      <c r="A16" s="95" t="s">
        <v>610</v>
      </c>
      <c r="B16" s="74">
        <v>65</v>
      </c>
      <c r="C16" s="95">
        <v>350</v>
      </c>
      <c r="D16" s="95">
        <v>350</v>
      </c>
      <c r="E16" s="74">
        <v>35</v>
      </c>
      <c r="F16" s="95" t="s">
        <v>491</v>
      </c>
      <c r="G16" s="74">
        <v>4</v>
      </c>
      <c r="H16" s="74">
        <v>4</v>
      </c>
      <c r="I16" s="74">
        <v>0</v>
      </c>
      <c r="J16" s="95" t="s">
        <v>492</v>
      </c>
      <c r="K16" s="74">
        <v>5.35</v>
      </c>
      <c r="L16" s="74">
        <v>0.183</v>
      </c>
      <c r="M16" s="74">
        <v>34.200000000000003</v>
      </c>
      <c r="N16" s="74">
        <v>6.75</v>
      </c>
      <c r="O16" s="74">
        <v>14.3</v>
      </c>
      <c r="P16" s="74">
        <v>681</v>
      </c>
      <c r="Q16" s="74">
        <v>328000</v>
      </c>
      <c r="R16" s="74">
        <v>10100</v>
      </c>
      <c r="S16" s="74">
        <v>13300</v>
      </c>
      <c r="T16" s="74">
        <v>22</v>
      </c>
      <c r="U16" s="74">
        <v>22</v>
      </c>
      <c r="V16">
        <v>123000</v>
      </c>
      <c r="W16" s="74">
        <v>7030</v>
      </c>
      <c r="X16" s="74">
        <v>8580</v>
      </c>
      <c r="Y16" s="74">
        <v>8.58</v>
      </c>
      <c r="Z16" s="95">
        <v>13.4</v>
      </c>
      <c r="AA16" s="95">
        <v>320000</v>
      </c>
      <c r="AB16" s="74">
        <v>0.32</v>
      </c>
      <c r="AC16" s="95" t="s">
        <v>497</v>
      </c>
      <c r="AD16" s="74">
        <v>1</v>
      </c>
      <c r="AE16" s="95" t="s">
        <v>494</v>
      </c>
      <c r="AF16" s="95">
        <v>13300</v>
      </c>
      <c r="AG16" s="74">
        <v>13.3</v>
      </c>
      <c r="AH16" s="95" t="s">
        <v>494</v>
      </c>
      <c r="AI16" s="95">
        <v>8580</v>
      </c>
      <c r="AJ16" s="74">
        <v>8.58</v>
      </c>
    </row>
    <row r="17" spans="1:36">
      <c r="A17" s="95" t="s">
        <v>611</v>
      </c>
      <c r="B17" s="74">
        <v>65</v>
      </c>
      <c r="C17" s="95">
        <v>350</v>
      </c>
      <c r="D17" s="95">
        <v>350</v>
      </c>
      <c r="E17" s="74">
        <v>35</v>
      </c>
      <c r="F17" s="95" t="s">
        <v>491</v>
      </c>
      <c r="G17" s="74">
        <v>3</v>
      </c>
      <c r="H17" s="74">
        <v>3</v>
      </c>
      <c r="I17" s="74">
        <v>0</v>
      </c>
      <c r="J17" s="95" t="s">
        <v>492</v>
      </c>
      <c r="K17" s="74">
        <v>4.25</v>
      </c>
      <c r="L17" s="74">
        <v>0.19</v>
      </c>
      <c r="M17" s="74">
        <v>44.7</v>
      </c>
      <c r="N17" s="74">
        <v>9.67</v>
      </c>
      <c r="O17" s="74">
        <v>19.7</v>
      </c>
      <c r="P17" s="74">
        <v>541</v>
      </c>
      <c r="Q17" s="74">
        <v>281000</v>
      </c>
      <c r="R17" s="74">
        <v>8650</v>
      </c>
      <c r="S17" s="74">
        <v>11000</v>
      </c>
      <c r="T17" s="74">
        <v>22.8</v>
      </c>
      <c r="U17" s="74">
        <v>22.8</v>
      </c>
      <c r="V17">
        <v>106000</v>
      </c>
      <c r="W17" s="74">
        <v>6040</v>
      </c>
      <c r="X17" s="74">
        <v>7110</v>
      </c>
      <c r="Y17" s="74">
        <v>7.11</v>
      </c>
      <c r="Z17" s="95">
        <v>14</v>
      </c>
      <c r="AA17" s="95">
        <v>259000</v>
      </c>
      <c r="AB17" s="74">
        <v>0.25900000000000001</v>
      </c>
      <c r="AC17" s="95" t="s">
        <v>521</v>
      </c>
      <c r="AD17" s="74">
        <v>1</v>
      </c>
      <c r="AE17" s="95" t="s">
        <v>494</v>
      </c>
      <c r="AF17" s="95">
        <v>11000</v>
      </c>
      <c r="AG17" s="74">
        <v>11</v>
      </c>
      <c r="AH17" s="95" t="s">
        <v>494</v>
      </c>
      <c r="AI17" s="95">
        <v>7110</v>
      </c>
      <c r="AJ17" s="74">
        <v>7.11</v>
      </c>
    </row>
    <row r="18" spans="1:36">
      <c r="A18" s="95" t="s">
        <v>612</v>
      </c>
      <c r="B18" s="74">
        <v>65</v>
      </c>
      <c r="C18" s="95">
        <v>350</v>
      </c>
      <c r="D18" s="95">
        <v>350</v>
      </c>
      <c r="E18" s="74">
        <v>35</v>
      </c>
      <c r="F18" s="95" t="s">
        <v>491</v>
      </c>
      <c r="G18" s="74">
        <v>2.5</v>
      </c>
      <c r="H18" s="74">
        <v>2.5</v>
      </c>
      <c r="I18" s="74">
        <v>0</v>
      </c>
      <c r="J18" s="95" t="s">
        <v>492</v>
      </c>
      <c r="K18" s="74">
        <v>3.6</v>
      </c>
      <c r="L18" s="74">
        <v>0.191</v>
      </c>
      <c r="M18" s="74">
        <v>53.1</v>
      </c>
      <c r="N18" s="74">
        <v>12</v>
      </c>
      <c r="O18" s="74">
        <v>24</v>
      </c>
      <c r="P18" s="74">
        <v>459</v>
      </c>
      <c r="Q18" s="74">
        <v>244000</v>
      </c>
      <c r="R18" s="74">
        <v>7520</v>
      </c>
      <c r="S18" s="74">
        <v>9450</v>
      </c>
      <c r="T18" s="74">
        <v>23.1</v>
      </c>
      <c r="U18" s="74">
        <v>23.1</v>
      </c>
      <c r="V18">
        <v>92600</v>
      </c>
      <c r="W18" s="74">
        <v>5290</v>
      </c>
      <c r="X18" s="74">
        <v>6130</v>
      </c>
      <c r="Y18" s="74">
        <v>6.13</v>
      </c>
      <c r="Z18" s="95">
        <v>14.2</v>
      </c>
      <c r="AA18" s="95">
        <v>223000</v>
      </c>
      <c r="AB18" s="74">
        <v>0.223</v>
      </c>
      <c r="AC18" s="95" t="s">
        <v>527</v>
      </c>
      <c r="AD18" s="74">
        <v>1</v>
      </c>
      <c r="AE18" s="95" t="s">
        <v>494</v>
      </c>
      <c r="AF18" s="95">
        <v>9450</v>
      </c>
      <c r="AG18" s="74">
        <v>9.4499999999999993</v>
      </c>
      <c r="AH18" s="95" t="s">
        <v>494</v>
      </c>
      <c r="AI18" s="95">
        <v>6130</v>
      </c>
      <c r="AJ18" s="74">
        <v>6.13</v>
      </c>
    </row>
    <row r="19" spans="1:36">
      <c r="A19" s="95" t="s">
        <v>613</v>
      </c>
      <c r="B19" s="74">
        <v>65</v>
      </c>
      <c r="C19" s="95">
        <v>350</v>
      </c>
      <c r="D19" s="95">
        <v>350</v>
      </c>
      <c r="E19" s="74">
        <v>35</v>
      </c>
      <c r="F19" s="95" t="s">
        <v>491</v>
      </c>
      <c r="G19" s="74">
        <v>2</v>
      </c>
      <c r="H19" s="74">
        <v>2</v>
      </c>
      <c r="I19" s="74">
        <v>0</v>
      </c>
      <c r="J19" s="95" t="s">
        <v>492</v>
      </c>
      <c r="K19" s="74">
        <v>2.93</v>
      </c>
      <c r="L19" s="74">
        <v>0.193</v>
      </c>
      <c r="M19" s="74">
        <v>65.8</v>
      </c>
      <c r="N19" s="74">
        <v>15.5</v>
      </c>
      <c r="O19" s="74">
        <v>30.5</v>
      </c>
      <c r="P19" s="74">
        <v>374</v>
      </c>
      <c r="Q19" s="74">
        <v>204000</v>
      </c>
      <c r="R19" s="74">
        <v>6280</v>
      </c>
      <c r="S19" s="74">
        <v>7800</v>
      </c>
      <c r="T19" s="74">
        <v>23.4</v>
      </c>
      <c r="U19" s="74">
        <v>23.4</v>
      </c>
      <c r="V19">
        <v>77800</v>
      </c>
      <c r="W19" s="74">
        <v>4440</v>
      </c>
      <c r="X19" s="74">
        <v>5070</v>
      </c>
      <c r="Y19" s="74">
        <v>5.07</v>
      </c>
      <c r="Z19" s="95">
        <v>14.4</v>
      </c>
      <c r="AA19" s="95">
        <v>184000</v>
      </c>
      <c r="AB19" s="74">
        <v>0.184</v>
      </c>
      <c r="AC19" s="95" t="s">
        <v>528</v>
      </c>
      <c r="AD19" s="74">
        <v>1</v>
      </c>
      <c r="AE19" s="95" t="s">
        <v>494</v>
      </c>
      <c r="AF19" s="95">
        <v>7800</v>
      </c>
      <c r="AG19" s="74">
        <v>7.8</v>
      </c>
      <c r="AH19" s="95" t="s">
        <v>495</v>
      </c>
      <c r="AI19" s="95">
        <v>4690</v>
      </c>
      <c r="AJ19" s="74">
        <v>4.6900000000000004</v>
      </c>
    </row>
    <row r="20" spans="1:36">
      <c r="A20" s="95" t="s">
        <v>607</v>
      </c>
      <c r="B20" s="74">
        <v>75</v>
      </c>
      <c r="C20" s="95">
        <v>350</v>
      </c>
      <c r="D20" s="95">
        <v>350</v>
      </c>
      <c r="E20" s="74">
        <v>25</v>
      </c>
      <c r="F20" s="95" t="s">
        <v>491</v>
      </c>
      <c r="G20" s="74">
        <v>2.5</v>
      </c>
      <c r="H20" s="74">
        <v>2.5</v>
      </c>
      <c r="I20" s="74">
        <v>0</v>
      </c>
      <c r="J20" s="95" t="s">
        <v>492</v>
      </c>
      <c r="K20" s="74">
        <v>3.6</v>
      </c>
      <c r="L20" s="74">
        <v>0.191</v>
      </c>
      <c r="M20" s="74">
        <v>53.1</v>
      </c>
      <c r="N20" s="74">
        <v>8</v>
      </c>
      <c r="O20" s="74">
        <v>28</v>
      </c>
      <c r="P20" s="74">
        <v>459</v>
      </c>
      <c r="Q20" s="74">
        <v>285000</v>
      </c>
      <c r="R20" s="74">
        <v>7600</v>
      </c>
      <c r="S20" s="74">
        <v>10100</v>
      </c>
      <c r="T20" s="74">
        <v>24.9</v>
      </c>
      <c r="U20" s="74">
        <v>24.9</v>
      </c>
      <c r="V20">
        <v>48700</v>
      </c>
      <c r="W20" s="74">
        <v>3890</v>
      </c>
      <c r="X20" s="74">
        <v>4530</v>
      </c>
      <c r="Y20" s="74">
        <v>4.53</v>
      </c>
      <c r="Z20" s="95">
        <v>10.3</v>
      </c>
      <c r="AA20" s="95">
        <v>144000</v>
      </c>
      <c r="AB20" s="74">
        <v>0.14399999999999999</v>
      </c>
      <c r="AC20" s="95" t="s">
        <v>493</v>
      </c>
      <c r="AD20" s="74">
        <v>1</v>
      </c>
      <c r="AE20" s="95" t="s">
        <v>494</v>
      </c>
      <c r="AF20" s="95">
        <v>10100</v>
      </c>
      <c r="AG20" s="74">
        <v>10.1</v>
      </c>
      <c r="AH20" s="95" t="s">
        <v>495</v>
      </c>
      <c r="AI20" s="95">
        <v>4330</v>
      </c>
      <c r="AJ20" s="74">
        <v>4.33</v>
      </c>
    </row>
    <row r="21" spans="1:36">
      <c r="A21" s="95" t="s">
        <v>608</v>
      </c>
      <c r="B21" s="74">
        <v>75</v>
      </c>
      <c r="C21" s="95">
        <v>350</v>
      </c>
      <c r="D21" s="95">
        <v>350</v>
      </c>
      <c r="E21" s="74">
        <v>25</v>
      </c>
      <c r="F21" s="95" t="s">
        <v>491</v>
      </c>
      <c r="G21" s="74">
        <v>2</v>
      </c>
      <c r="H21" s="74">
        <v>2</v>
      </c>
      <c r="I21" s="74">
        <v>0</v>
      </c>
      <c r="J21" s="95" t="s">
        <v>492</v>
      </c>
      <c r="K21" s="74">
        <v>2.93</v>
      </c>
      <c r="L21" s="74">
        <v>0.193</v>
      </c>
      <c r="M21" s="74">
        <v>65.8</v>
      </c>
      <c r="N21" s="74">
        <v>10.5</v>
      </c>
      <c r="O21" s="74">
        <v>35.5</v>
      </c>
      <c r="P21" s="74">
        <v>374</v>
      </c>
      <c r="Q21" s="74">
        <v>238000</v>
      </c>
      <c r="R21" s="74">
        <v>6360</v>
      </c>
      <c r="S21" s="74">
        <v>8310</v>
      </c>
      <c r="T21" s="74">
        <v>25.3</v>
      </c>
      <c r="U21" s="74">
        <v>25.3</v>
      </c>
      <c r="V21">
        <v>41400</v>
      </c>
      <c r="W21" s="74">
        <v>3310</v>
      </c>
      <c r="X21" s="74">
        <v>3770</v>
      </c>
      <c r="Y21" s="74">
        <v>3.77</v>
      </c>
      <c r="Z21" s="95">
        <v>10.5</v>
      </c>
      <c r="AA21" s="95">
        <v>120000</v>
      </c>
      <c r="AB21" s="74">
        <v>0.12</v>
      </c>
      <c r="AC21" s="95" t="s">
        <v>525</v>
      </c>
      <c r="AD21" s="74">
        <v>0.96399999999999997</v>
      </c>
      <c r="AE21" s="95" t="s">
        <v>494</v>
      </c>
      <c r="AF21" s="95">
        <v>8310</v>
      </c>
      <c r="AG21" s="74">
        <v>8.31</v>
      </c>
      <c r="AH21" s="95" t="s">
        <v>496</v>
      </c>
      <c r="AI21" s="95">
        <v>3180</v>
      </c>
      <c r="AJ21" s="74">
        <v>3.18</v>
      </c>
    </row>
    <row r="22" spans="1:36">
      <c r="A22" s="95" t="s">
        <v>609</v>
      </c>
      <c r="B22" s="74">
        <v>75</v>
      </c>
      <c r="C22" s="95">
        <v>350</v>
      </c>
      <c r="D22" s="95">
        <v>350</v>
      </c>
      <c r="E22" s="74">
        <v>25</v>
      </c>
      <c r="F22" s="95" t="s">
        <v>491</v>
      </c>
      <c r="G22" s="74">
        <v>1.6</v>
      </c>
      <c r="H22" s="74">
        <v>1.6</v>
      </c>
      <c r="I22" s="74">
        <v>0</v>
      </c>
      <c r="J22" s="95" t="s">
        <v>492</v>
      </c>
      <c r="K22" s="74">
        <v>2.38</v>
      </c>
      <c r="L22" s="74">
        <v>0.19500000000000001</v>
      </c>
      <c r="M22" s="74">
        <v>81.7</v>
      </c>
      <c r="N22" s="74">
        <v>13.6</v>
      </c>
      <c r="O22" s="74">
        <v>44.9</v>
      </c>
      <c r="P22" s="74">
        <v>303</v>
      </c>
      <c r="Q22" s="74">
        <v>197000</v>
      </c>
      <c r="R22" s="74">
        <v>5260</v>
      </c>
      <c r="S22" s="74">
        <v>6810</v>
      </c>
      <c r="T22" s="74">
        <v>25.5</v>
      </c>
      <c r="U22" s="74">
        <v>25.5</v>
      </c>
      <c r="V22">
        <v>34700</v>
      </c>
      <c r="W22" s="74">
        <v>2780</v>
      </c>
      <c r="X22" s="74">
        <v>3110</v>
      </c>
      <c r="Y22" s="74">
        <v>3.11</v>
      </c>
      <c r="Z22" s="95">
        <v>10.7</v>
      </c>
      <c r="AA22" s="95">
        <v>99300</v>
      </c>
      <c r="AB22" s="74">
        <v>9.9299999999999999E-2</v>
      </c>
      <c r="AC22" s="95" t="s">
        <v>526</v>
      </c>
      <c r="AD22" s="74">
        <v>0.81299999999999994</v>
      </c>
      <c r="AE22" s="95" t="s">
        <v>494</v>
      </c>
      <c r="AF22" s="95">
        <v>6810</v>
      </c>
      <c r="AG22" s="74">
        <v>6.81</v>
      </c>
      <c r="AH22" s="95" t="s">
        <v>496</v>
      </c>
      <c r="AI22" s="95">
        <v>2220</v>
      </c>
      <c r="AJ22" s="74">
        <v>2.2200000000000002</v>
      </c>
    </row>
    <row r="23" spans="1:36">
      <c r="A23" s="95" t="s">
        <v>688</v>
      </c>
      <c r="B23" s="74">
        <v>75</v>
      </c>
      <c r="C23" s="95">
        <v>450</v>
      </c>
      <c r="D23" s="95">
        <v>450</v>
      </c>
      <c r="E23" s="74">
        <v>50</v>
      </c>
      <c r="F23" s="95" t="s">
        <v>491</v>
      </c>
      <c r="G23" s="74">
        <v>6</v>
      </c>
      <c r="H23" s="74">
        <v>6</v>
      </c>
      <c r="I23" s="74">
        <v>0</v>
      </c>
      <c r="J23" s="95" t="s">
        <v>492</v>
      </c>
      <c r="K23" s="74">
        <v>9.67</v>
      </c>
      <c r="L23" s="74">
        <v>0.224</v>
      </c>
      <c r="M23" s="74">
        <v>23.2</v>
      </c>
      <c r="N23" s="74">
        <v>6.33</v>
      </c>
      <c r="O23" s="74">
        <v>10.5</v>
      </c>
      <c r="P23" s="74">
        <v>1230</v>
      </c>
      <c r="Q23" s="74">
        <v>800000</v>
      </c>
      <c r="R23" s="74">
        <v>21300</v>
      </c>
      <c r="S23" s="74">
        <v>28100</v>
      </c>
      <c r="T23" s="74">
        <v>25.5</v>
      </c>
      <c r="U23" s="74">
        <v>25.5</v>
      </c>
      <c r="V23">
        <v>421000</v>
      </c>
      <c r="W23" s="74">
        <v>16900</v>
      </c>
      <c r="X23" s="74">
        <v>21100</v>
      </c>
      <c r="Y23" s="74">
        <v>21.1</v>
      </c>
      <c r="Z23" s="95">
        <v>18.5</v>
      </c>
      <c r="AA23" s="95">
        <v>1010000</v>
      </c>
      <c r="AB23" s="74">
        <v>1.01</v>
      </c>
      <c r="AC23" s="95" t="s">
        <v>523</v>
      </c>
      <c r="AD23" s="74">
        <v>1</v>
      </c>
      <c r="AE23" s="95" t="s">
        <v>494</v>
      </c>
      <c r="AF23" s="95">
        <v>28100</v>
      </c>
      <c r="AG23" s="74">
        <v>28.1</v>
      </c>
      <c r="AH23" s="95" t="s">
        <v>494</v>
      </c>
      <c r="AI23" s="95">
        <v>21100</v>
      </c>
      <c r="AJ23" s="74">
        <v>21.1</v>
      </c>
    </row>
    <row r="24" spans="1:36">
      <c r="A24" s="95" t="s">
        <v>689</v>
      </c>
      <c r="B24" s="74">
        <v>75</v>
      </c>
      <c r="C24" s="95">
        <v>450</v>
      </c>
      <c r="D24" s="95">
        <v>450</v>
      </c>
      <c r="E24" s="74">
        <v>50</v>
      </c>
      <c r="F24" s="95" t="s">
        <v>491</v>
      </c>
      <c r="G24" s="74">
        <v>5</v>
      </c>
      <c r="H24" s="74">
        <v>5</v>
      </c>
      <c r="I24" s="74">
        <v>0</v>
      </c>
      <c r="J24" s="95" t="s">
        <v>492</v>
      </c>
      <c r="K24" s="74">
        <v>8.35</v>
      </c>
      <c r="L24" s="74">
        <v>0.22900000000000001</v>
      </c>
      <c r="M24" s="74">
        <v>27.4</v>
      </c>
      <c r="N24" s="74">
        <v>8</v>
      </c>
      <c r="O24" s="74">
        <v>13</v>
      </c>
      <c r="P24" s="74">
        <v>1060</v>
      </c>
      <c r="Q24" s="74">
        <v>726000</v>
      </c>
      <c r="R24" s="74">
        <v>19400</v>
      </c>
      <c r="S24" s="74">
        <v>24900</v>
      </c>
      <c r="T24" s="74">
        <v>26.1</v>
      </c>
      <c r="U24" s="74">
        <v>26.1</v>
      </c>
      <c r="V24">
        <v>384000</v>
      </c>
      <c r="W24" s="74">
        <v>15400</v>
      </c>
      <c r="X24" s="74">
        <v>18800</v>
      </c>
      <c r="Y24" s="74">
        <v>18.8</v>
      </c>
      <c r="Z24" s="95">
        <v>19</v>
      </c>
      <c r="AA24" s="95">
        <v>891000</v>
      </c>
      <c r="AB24" s="74">
        <v>0.89100000000000001</v>
      </c>
      <c r="AC24" s="95" t="s">
        <v>581</v>
      </c>
      <c r="AD24" s="74">
        <v>1</v>
      </c>
      <c r="AE24" s="95" t="s">
        <v>494</v>
      </c>
      <c r="AF24" s="95">
        <v>24900</v>
      </c>
      <c r="AG24" s="74">
        <v>24.9</v>
      </c>
      <c r="AH24" s="95" t="s">
        <v>494</v>
      </c>
      <c r="AI24" s="95">
        <v>18800</v>
      </c>
      <c r="AJ24" s="74">
        <v>18.8</v>
      </c>
    </row>
    <row r="25" spans="1:36">
      <c r="A25" s="95" t="s">
        <v>690</v>
      </c>
      <c r="B25" s="74">
        <v>75</v>
      </c>
      <c r="C25" s="95">
        <v>450</v>
      </c>
      <c r="D25" s="95">
        <v>450</v>
      </c>
      <c r="E25" s="74">
        <v>50</v>
      </c>
      <c r="F25" s="95" t="s">
        <v>491</v>
      </c>
      <c r="G25" s="74">
        <v>4</v>
      </c>
      <c r="H25" s="74">
        <v>4</v>
      </c>
      <c r="I25" s="74">
        <v>0</v>
      </c>
      <c r="J25" s="95" t="s">
        <v>492</v>
      </c>
      <c r="K25" s="74">
        <v>6.92</v>
      </c>
      <c r="L25" s="74">
        <v>0.23300000000000001</v>
      </c>
      <c r="M25" s="74">
        <v>33.700000000000003</v>
      </c>
      <c r="N25" s="74">
        <v>10.5</v>
      </c>
      <c r="O25" s="74">
        <v>16.8</v>
      </c>
      <c r="P25" s="74">
        <v>881</v>
      </c>
      <c r="Q25" s="74">
        <v>630000</v>
      </c>
      <c r="R25" s="74">
        <v>16800</v>
      </c>
      <c r="S25" s="74">
        <v>21100</v>
      </c>
      <c r="T25" s="74">
        <v>26.7</v>
      </c>
      <c r="U25" s="74">
        <v>26.7</v>
      </c>
      <c r="V25">
        <v>335000</v>
      </c>
      <c r="W25" s="74">
        <v>13400</v>
      </c>
      <c r="X25" s="74">
        <v>16000</v>
      </c>
      <c r="Y25" s="74">
        <v>16</v>
      </c>
      <c r="Z25" s="95">
        <v>19.5</v>
      </c>
      <c r="AA25" s="95">
        <v>754000</v>
      </c>
      <c r="AB25" s="74">
        <v>0.754</v>
      </c>
      <c r="AC25" s="95" t="s">
        <v>515</v>
      </c>
      <c r="AD25" s="74">
        <v>1</v>
      </c>
      <c r="AE25" s="95" t="s">
        <v>494</v>
      </c>
      <c r="AF25" s="95">
        <v>21100</v>
      </c>
      <c r="AG25" s="74">
        <v>21.1</v>
      </c>
      <c r="AH25" s="95" t="s">
        <v>494</v>
      </c>
      <c r="AI25" s="95">
        <v>16000</v>
      </c>
      <c r="AJ25" s="74">
        <v>16</v>
      </c>
    </row>
    <row r="26" spans="1:36">
      <c r="A26" s="95" t="s">
        <v>691</v>
      </c>
      <c r="B26" s="74">
        <v>75</v>
      </c>
      <c r="C26" s="95">
        <v>450</v>
      </c>
      <c r="D26" s="95">
        <v>450</v>
      </c>
      <c r="E26" s="74">
        <v>50</v>
      </c>
      <c r="F26" s="95" t="s">
        <v>491</v>
      </c>
      <c r="G26" s="74">
        <v>3</v>
      </c>
      <c r="H26" s="74">
        <v>3</v>
      </c>
      <c r="I26" s="74">
        <v>0</v>
      </c>
      <c r="J26" s="95" t="s">
        <v>492</v>
      </c>
      <c r="K26" s="74">
        <v>5.42</v>
      </c>
      <c r="L26" s="74">
        <v>0.24</v>
      </c>
      <c r="M26" s="74">
        <v>44.2</v>
      </c>
      <c r="N26" s="74">
        <v>14.7</v>
      </c>
      <c r="O26" s="74">
        <v>23</v>
      </c>
      <c r="P26" s="74">
        <v>691</v>
      </c>
      <c r="Q26" s="74">
        <v>522000</v>
      </c>
      <c r="R26" s="74">
        <v>13900</v>
      </c>
      <c r="S26" s="74">
        <v>17100</v>
      </c>
      <c r="T26" s="74">
        <v>27.5</v>
      </c>
      <c r="U26" s="74">
        <v>27.5</v>
      </c>
      <c r="V26">
        <v>278000</v>
      </c>
      <c r="W26" s="74">
        <v>11100</v>
      </c>
      <c r="X26" s="74">
        <v>12900</v>
      </c>
      <c r="Y26" s="74">
        <v>12.9</v>
      </c>
      <c r="Z26" s="95">
        <v>20</v>
      </c>
      <c r="AA26" s="95">
        <v>593000</v>
      </c>
      <c r="AB26" s="74">
        <v>0.59299999999999997</v>
      </c>
      <c r="AC26" s="95" t="s">
        <v>582</v>
      </c>
      <c r="AD26" s="74">
        <v>1</v>
      </c>
      <c r="AE26" s="95" t="s">
        <v>494</v>
      </c>
      <c r="AF26" s="95">
        <v>17100</v>
      </c>
      <c r="AG26" s="74">
        <v>17.100000000000001</v>
      </c>
      <c r="AH26" s="95" t="s">
        <v>495</v>
      </c>
      <c r="AI26" s="95">
        <v>12800</v>
      </c>
      <c r="AJ26" s="74">
        <v>12.8</v>
      </c>
    </row>
    <row r="27" spans="1:36">
      <c r="A27" s="95" t="s">
        <v>692</v>
      </c>
      <c r="B27" s="74">
        <v>75</v>
      </c>
      <c r="C27" s="95">
        <v>450</v>
      </c>
      <c r="D27" s="95">
        <v>450</v>
      </c>
      <c r="E27" s="74">
        <v>50</v>
      </c>
      <c r="F27" s="95" t="s">
        <v>491</v>
      </c>
      <c r="G27" s="74">
        <v>2.5</v>
      </c>
      <c r="H27" s="74">
        <v>2.5</v>
      </c>
      <c r="I27" s="74">
        <v>0</v>
      </c>
      <c r="J27" s="95" t="s">
        <v>492</v>
      </c>
      <c r="K27" s="74">
        <v>4.58</v>
      </c>
      <c r="L27" s="74">
        <v>0.24099999999999999</v>
      </c>
      <c r="M27" s="74">
        <v>52.7</v>
      </c>
      <c r="N27" s="74">
        <v>18</v>
      </c>
      <c r="O27" s="74">
        <v>28</v>
      </c>
      <c r="P27" s="74">
        <v>584</v>
      </c>
      <c r="Q27" s="74">
        <v>450000</v>
      </c>
      <c r="R27" s="74">
        <v>12000</v>
      </c>
      <c r="S27" s="74">
        <v>14600</v>
      </c>
      <c r="T27" s="74">
        <v>27.7</v>
      </c>
      <c r="U27" s="74">
        <v>27.7</v>
      </c>
      <c r="V27">
        <v>240000</v>
      </c>
      <c r="W27" s="74">
        <v>9600</v>
      </c>
      <c r="X27" s="74">
        <v>11000</v>
      </c>
      <c r="Y27" s="74">
        <v>11</v>
      </c>
      <c r="Z27" s="95">
        <v>20.3</v>
      </c>
      <c r="AA27" s="95">
        <v>505000</v>
      </c>
      <c r="AB27" s="74">
        <v>0.505</v>
      </c>
      <c r="AC27" s="95" t="s">
        <v>583</v>
      </c>
      <c r="AD27" s="74">
        <v>1</v>
      </c>
      <c r="AE27" s="95" t="s">
        <v>494</v>
      </c>
      <c r="AF27" s="95">
        <v>14600</v>
      </c>
      <c r="AG27" s="74">
        <v>14.6</v>
      </c>
      <c r="AH27" s="95" t="s">
        <v>495</v>
      </c>
      <c r="AI27" s="95">
        <v>9950</v>
      </c>
      <c r="AJ27" s="74">
        <v>9.9499999999999993</v>
      </c>
    </row>
    <row r="28" spans="1:36">
      <c r="A28" s="95" t="s">
        <v>693</v>
      </c>
      <c r="B28" s="74">
        <v>75</v>
      </c>
      <c r="C28" s="95">
        <v>450</v>
      </c>
      <c r="D28" s="95">
        <v>450</v>
      </c>
      <c r="E28" s="74">
        <v>50</v>
      </c>
      <c r="F28" s="95" t="s">
        <v>491</v>
      </c>
      <c r="G28" s="74">
        <v>2</v>
      </c>
      <c r="H28" s="74">
        <v>2</v>
      </c>
      <c r="I28" s="74">
        <v>0</v>
      </c>
      <c r="J28" s="95" t="s">
        <v>492</v>
      </c>
      <c r="K28" s="74">
        <v>3.72</v>
      </c>
      <c r="L28" s="74">
        <v>0.24299999999999999</v>
      </c>
      <c r="M28" s="74">
        <v>65.400000000000006</v>
      </c>
      <c r="N28" s="74">
        <v>23</v>
      </c>
      <c r="O28" s="74">
        <v>35.5</v>
      </c>
      <c r="P28" s="74">
        <v>474</v>
      </c>
      <c r="Q28" s="74">
        <v>372000</v>
      </c>
      <c r="R28" s="74">
        <v>9910</v>
      </c>
      <c r="S28" s="74">
        <v>12000</v>
      </c>
      <c r="T28" s="74">
        <v>28</v>
      </c>
      <c r="U28" s="74">
        <v>28</v>
      </c>
      <c r="V28">
        <v>199000</v>
      </c>
      <c r="W28" s="74">
        <v>7960</v>
      </c>
      <c r="X28" s="74">
        <v>9060</v>
      </c>
      <c r="Y28" s="74">
        <v>9.06</v>
      </c>
      <c r="Z28" s="95">
        <v>20.5</v>
      </c>
      <c r="AA28" s="95">
        <v>414000</v>
      </c>
      <c r="AB28" s="74">
        <v>0.41399999999999998</v>
      </c>
      <c r="AC28" s="95" t="s">
        <v>505</v>
      </c>
      <c r="AD28" s="74">
        <v>0.90400000000000003</v>
      </c>
      <c r="AE28" s="95" t="s">
        <v>495</v>
      </c>
      <c r="AF28" s="95">
        <v>11800</v>
      </c>
      <c r="AG28" s="74">
        <v>11.8</v>
      </c>
      <c r="AH28" s="95" t="s">
        <v>496</v>
      </c>
      <c r="AI28" s="95">
        <v>7070</v>
      </c>
      <c r="AJ28" s="74">
        <v>7.07</v>
      </c>
    </row>
    <row r="29" spans="1:36">
      <c r="A29" s="95" t="s">
        <v>694</v>
      </c>
      <c r="B29" s="74">
        <v>75</v>
      </c>
      <c r="C29" s="95">
        <v>450</v>
      </c>
      <c r="D29" s="95">
        <v>450</v>
      </c>
      <c r="E29" s="74">
        <v>50</v>
      </c>
      <c r="F29" s="95" t="s">
        <v>491</v>
      </c>
      <c r="G29" s="74">
        <v>1.6</v>
      </c>
      <c r="H29" s="74">
        <v>1.6</v>
      </c>
      <c r="I29" s="74">
        <v>0</v>
      </c>
      <c r="J29" s="95" t="s">
        <v>492</v>
      </c>
      <c r="K29" s="74">
        <v>3.01</v>
      </c>
      <c r="L29" s="74">
        <v>0.245</v>
      </c>
      <c r="M29" s="74">
        <v>81.3</v>
      </c>
      <c r="N29" s="74">
        <v>29.3</v>
      </c>
      <c r="O29" s="74">
        <v>44.9</v>
      </c>
      <c r="P29" s="74">
        <v>383</v>
      </c>
      <c r="Q29" s="74">
        <v>305000</v>
      </c>
      <c r="R29" s="74">
        <v>8140.0000000000009</v>
      </c>
      <c r="S29" s="74">
        <v>9750</v>
      </c>
      <c r="T29" s="74">
        <v>28.2</v>
      </c>
      <c r="U29" s="74">
        <v>28.2</v>
      </c>
      <c r="V29">
        <v>164000</v>
      </c>
      <c r="W29" s="74">
        <v>6560</v>
      </c>
      <c r="X29" s="74">
        <v>7400</v>
      </c>
      <c r="Y29" s="74">
        <v>7.4</v>
      </c>
      <c r="Z29" s="95">
        <v>20.7</v>
      </c>
      <c r="AA29" s="95">
        <v>337000</v>
      </c>
      <c r="AB29" s="74">
        <v>0.33700000000000002</v>
      </c>
      <c r="AC29" s="95" t="s">
        <v>509</v>
      </c>
      <c r="AD29" s="74">
        <v>0.79900000000000004</v>
      </c>
      <c r="AE29" s="95" t="s">
        <v>495</v>
      </c>
      <c r="AF29" s="95">
        <v>8260</v>
      </c>
      <c r="AG29" s="74">
        <v>8.26</v>
      </c>
      <c r="AH29" s="95" t="s">
        <v>496</v>
      </c>
      <c r="AI29" s="95">
        <v>5010</v>
      </c>
      <c r="AJ29" s="74">
        <v>5.01</v>
      </c>
    </row>
    <row r="30" spans="1:36">
      <c r="A30" s="95" t="s">
        <v>685</v>
      </c>
      <c r="B30" s="74">
        <v>76</v>
      </c>
      <c r="C30" s="95">
        <v>450</v>
      </c>
      <c r="D30" s="95">
        <v>450</v>
      </c>
      <c r="E30" s="74">
        <v>38</v>
      </c>
      <c r="F30" s="95" t="s">
        <v>491</v>
      </c>
      <c r="G30" s="74">
        <v>4</v>
      </c>
      <c r="H30" s="74">
        <v>4</v>
      </c>
      <c r="I30" s="74">
        <v>0</v>
      </c>
      <c r="J30" s="95" t="s">
        <v>492</v>
      </c>
      <c r="K30" s="74">
        <v>6.23</v>
      </c>
      <c r="L30" s="74">
        <v>0.21099999999999999</v>
      </c>
      <c r="M30" s="74">
        <v>33.9</v>
      </c>
      <c r="N30" s="74">
        <v>7.5</v>
      </c>
      <c r="O30" s="74">
        <v>17</v>
      </c>
      <c r="P30" s="74">
        <v>793</v>
      </c>
      <c r="Q30" s="74">
        <v>527000</v>
      </c>
      <c r="R30" s="74">
        <v>13900</v>
      </c>
      <c r="S30" s="74">
        <v>18100</v>
      </c>
      <c r="T30" s="74">
        <v>25.8</v>
      </c>
      <c r="U30" s="74">
        <v>25.8</v>
      </c>
      <c r="V30">
        <v>176000</v>
      </c>
      <c r="W30" s="74">
        <v>9260</v>
      </c>
      <c r="X30" s="74">
        <v>11100</v>
      </c>
      <c r="Y30" s="74">
        <v>11.1</v>
      </c>
      <c r="Z30" s="95">
        <v>14.9</v>
      </c>
      <c r="AA30" s="95">
        <v>466000</v>
      </c>
      <c r="AB30" s="74">
        <v>0.46600000000000003</v>
      </c>
      <c r="AC30" s="95" t="s">
        <v>522</v>
      </c>
      <c r="AD30" s="74">
        <v>1</v>
      </c>
      <c r="AE30" s="95" t="s">
        <v>494</v>
      </c>
      <c r="AF30" s="95">
        <v>18100</v>
      </c>
      <c r="AG30" s="74">
        <v>18.100000000000001</v>
      </c>
      <c r="AH30" s="95" t="s">
        <v>494</v>
      </c>
      <c r="AI30" s="95">
        <v>11100</v>
      </c>
      <c r="AJ30" s="74">
        <v>11.1</v>
      </c>
    </row>
    <row r="31" spans="1:36">
      <c r="A31" s="95" t="s">
        <v>686</v>
      </c>
      <c r="B31" s="74">
        <v>76</v>
      </c>
      <c r="C31" s="95">
        <v>450</v>
      </c>
      <c r="D31" s="95">
        <v>450</v>
      </c>
      <c r="E31" s="74">
        <v>38</v>
      </c>
      <c r="F31" s="95" t="s">
        <v>491</v>
      </c>
      <c r="G31" s="74">
        <v>3</v>
      </c>
      <c r="H31" s="74">
        <v>3</v>
      </c>
      <c r="I31" s="74">
        <v>0</v>
      </c>
      <c r="J31" s="95" t="s">
        <v>492</v>
      </c>
      <c r="K31" s="74">
        <v>4.9000000000000004</v>
      </c>
      <c r="L31" s="74">
        <v>0.218</v>
      </c>
      <c r="M31" s="74">
        <v>44.4</v>
      </c>
      <c r="N31" s="74">
        <v>10.7</v>
      </c>
      <c r="O31" s="74">
        <v>23.3</v>
      </c>
      <c r="P31" s="74">
        <v>625</v>
      </c>
      <c r="Q31" s="74">
        <v>443000</v>
      </c>
      <c r="R31" s="74">
        <v>11700</v>
      </c>
      <c r="S31" s="74">
        <v>14800</v>
      </c>
      <c r="T31" s="74">
        <v>26.6</v>
      </c>
      <c r="U31" s="74">
        <v>26.6</v>
      </c>
      <c r="V31">
        <v>149000</v>
      </c>
      <c r="W31" s="74">
        <v>7820</v>
      </c>
      <c r="X31" s="74">
        <v>9090</v>
      </c>
      <c r="Y31" s="74">
        <v>9.09</v>
      </c>
      <c r="Z31" s="95">
        <v>15.4</v>
      </c>
      <c r="AA31" s="95">
        <v>373000</v>
      </c>
      <c r="AB31" s="74">
        <v>0.373</v>
      </c>
      <c r="AC31" s="95" t="s">
        <v>499</v>
      </c>
      <c r="AD31" s="74">
        <v>1</v>
      </c>
      <c r="AE31" s="95" t="s">
        <v>494</v>
      </c>
      <c r="AF31" s="95">
        <v>14800</v>
      </c>
      <c r="AG31" s="74">
        <v>14.8</v>
      </c>
      <c r="AH31" s="95" t="s">
        <v>495</v>
      </c>
      <c r="AI31" s="95">
        <v>8920</v>
      </c>
      <c r="AJ31" s="74">
        <v>8.92</v>
      </c>
    </row>
    <row r="32" spans="1:36">
      <c r="A32" s="95" t="s">
        <v>687</v>
      </c>
      <c r="B32" s="74">
        <v>76</v>
      </c>
      <c r="C32" s="95">
        <v>450</v>
      </c>
      <c r="D32" s="95">
        <v>450</v>
      </c>
      <c r="E32" s="74">
        <v>38</v>
      </c>
      <c r="F32" s="95" t="s">
        <v>491</v>
      </c>
      <c r="G32" s="74">
        <v>2.5</v>
      </c>
      <c r="H32" s="74">
        <v>2.5</v>
      </c>
      <c r="I32" s="74">
        <v>0</v>
      </c>
      <c r="J32" s="95" t="s">
        <v>492</v>
      </c>
      <c r="K32" s="74">
        <v>4.1500000000000004</v>
      </c>
      <c r="L32" s="74">
        <v>0.219</v>
      </c>
      <c r="M32" s="74">
        <v>52.8</v>
      </c>
      <c r="N32" s="74">
        <v>13.2</v>
      </c>
      <c r="O32" s="74">
        <v>28.4</v>
      </c>
      <c r="P32" s="74">
        <v>529</v>
      </c>
      <c r="Q32" s="74">
        <v>383000</v>
      </c>
      <c r="R32" s="74">
        <v>10100</v>
      </c>
      <c r="S32" s="74">
        <v>12700</v>
      </c>
      <c r="T32" s="74">
        <v>26.9</v>
      </c>
      <c r="U32" s="74">
        <v>26.9</v>
      </c>
      <c r="V32">
        <v>129000</v>
      </c>
      <c r="W32" s="74">
        <v>6810</v>
      </c>
      <c r="X32" s="74">
        <v>7810</v>
      </c>
      <c r="Y32" s="74">
        <v>7.81</v>
      </c>
      <c r="Z32" s="95">
        <v>15.6</v>
      </c>
      <c r="AA32" s="95">
        <v>320000</v>
      </c>
      <c r="AB32" s="74">
        <v>0.32</v>
      </c>
      <c r="AC32" s="95" t="s">
        <v>524</v>
      </c>
      <c r="AD32" s="74">
        <v>1</v>
      </c>
      <c r="AE32" s="95" t="s">
        <v>494</v>
      </c>
      <c r="AF32" s="95">
        <v>12700</v>
      </c>
      <c r="AG32" s="74">
        <v>12.7</v>
      </c>
      <c r="AH32" s="95" t="s">
        <v>495</v>
      </c>
      <c r="AI32" s="95">
        <v>7000</v>
      </c>
      <c r="AJ32" s="74">
        <v>7</v>
      </c>
    </row>
    <row r="33" spans="1:36">
      <c r="A33" s="95" t="s">
        <v>677</v>
      </c>
      <c r="B33" s="74">
        <v>100</v>
      </c>
      <c r="C33" s="95">
        <v>450</v>
      </c>
      <c r="D33" s="95">
        <v>450</v>
      </c>
      <c r="E33" s="74">
        <v>50</v>
      </c>
      <c r="F33" s="95" t="s">
        <v>491</v>
      </c>
      <c r="G33" s="74">
        <v>6</v>
      </c>
      <c r="H33" s="74">
        <v>6</v>
      </c>
      <c r="I33" s="74">
        <v>0</v>
      </c>
      <c r="J33" s="95" t="s">
        <v>492</v>
      </c>
      <c r="K33" s="74">
        <v>12</v>
      </c>
      <c r="L33" s="74">
        <v>0.27400000000000002</v>
      </c>
      <c r="M33" s="74">
        <v>22.8</v>
      </c>
      <c r="N33" s="74">
        <v>6.33</v>
      </c>
      <c r="O33" s="74">
        <v>14.7</v>
      </c>
      <c r="P33" s="74">
        <v>1530</v>
      </c>
      <c r="Q33" s="74">
        <v>1710000</v>
      </c>
      <c r="R33" s="74">
        <v>34200</v>
      </c>
      <c r="S33" s="74">
        <v>45300</v>
      </c>
      <c r="T33" s="74">
        <v>33.4</v>
      </c>
      <c r="U33" s="74">
        <v>33.4</v>
      </c>
      <c r="V33">
        <v>567000</v>
      </c>
      <c r="W33" s="74">
        <v>22700</v>
      </c>
      <c r="X33" s="74">
        <v>27700</v>
      </c>
      <c r="Y33" s="74">
        <v>27.7</v>
      </c>
      <c r="Z33" s="95">
        <v>19.2</v>
      </c>
      <c r="AA33" s="95">
        <v>1530000</v>
      </c>
      <c r="AB33" s="74">
        <v>1.53</v>
      </c>
      <c r="AC33" s="95" t="s">
        <v>520</v>
      </c>
      <c r="AD33" s="74">
        <v>1</v>
      </c>
      <c r="AE33" s="95" t="s">
        <v>494</v>
      </c>
      <c r="AF33" s="95">
        <v>45300</v>
      </c>
      <c r="AG33" s="74">
        <v>45.3</v>
      </c>
      <c r="AH33" s="95" t="s">
        <v>494</v>
      </c>
      <c r="AI33" s="95">
        <v>27700</v>
      </c>
      <c r="AJ33" s="74">
        <v>27.7</v>
      </c>
    </row>
    <row r="34" spans="1:36">
      <c r="A34" s="95" t="s">
        <v>678</v>
      </c>
      <c r="B34" s="74">
        <v>100</v>
      </c>
      <c r="C34" s="95">
        <v>450</v>
      </c>
      <c r="D34" s="95">
        <v>450</v>
      </c>
      <c r="E34" s="74">
        <v>50</v>
      </c>
      <c r="F34" s="95" t="s">
        <v>491</v>
      </c>
      <c r="G34" s="74">
        <v>5</v>
      </c>
      <c r="H34" s="74">
        <v>5</v>
      </c>
      <c r="I34" s="74">
        <v>0</v>
      </c>
      <c r="J34" s="95" t="s">
        <v>492</v>
      </c>
      <c r="K34" s="74">
        <v>10.3</v>
      </c>
      <c r="L34" s="74">
        <v>0.27900000000000003</v>
      </c>
      <c r="M34" s="74">
        <v>27</v>
      </c>
      <c r="N34" s="74">
        <v>8</v>
      </c>
      <c r="O34" s="74">
        <v>18</v>
      </c>
      <c r="P34" s="74">
        <v>1310</v>
      </c>
      <c r="Q34" s="74">
        <v>1530000</v>
      </c>
      <c r="R34" s="74">
        <v>30600</v>
      </c>
      <c r="S34" s="74">
        <v>39800</v>
      </c>
      <c r="T34" s="74">
        <v>34.1</v>
      </c>
      <c r="U34" s="74">
        <v>34.1</v>
      </c>
      <c r="V34">
        <v>511000</v>
      </c>
      <c r="W34" s="74">
        <v>20400</v>
      </c>
      <c r="X34" s="74">
        <v>24400</v>
      </c>
      <c r="Y34" s="74">
        <v>24.4</v>
      </c>
      <c r="Z34" s="95">
        <v>19.7</v>
      </c>
      <c r="AA34" s="95">
        <v>1350000</v>
      </c>
      <c r="AB34" s="74">
        <v>1.35</v>
      </c>
      <c r="AC34" s="95" t="s">
        <v>577</v>
      </c>
      <c r="AD34" s="74">
        <v>1</v>
      </c>
      <c r="AE34" s="95" t="s">
        <v>494</v>
      </c>
      <c r="AF34" s="95">
        <v>39800</v>
      </c>
      <c r="AG34" s="74">
        <v>39.799999999999997</v>
      </c>
      <c r="AH34" s="95" t="s">
        <v>494</v>
      </c>
      <c r="AI34" s="95">
        <v>24400</v>
      </c>
      <c r="AJ34" s="74">
        <v>24.4</v>
      </c>
    </row>
    <row r="35" spans="1:36">
      <c r="A35" s="95" t="s">
        <v>679</v>
      </c>
      <c r="B35" s="74">
        <v>100</v>
      </c>
      <c r="C35" s="95">
        <v>450</v>
      </c>
      <c r="D35" s="95">
        <v>450</v>
      </c>
      <c r="E35" s="74">
        <v>50</v>
      </c>
      <c r="F35" s="95" t="s">
        <v>491</v>
      </c>
      <c r="G35" s="74">
        <v>4</v>
      </c>
      <c r="H35" s="74">
        <v>4</v>
      </c>
      <c r="I35" s="74">
        <v>0</v>
      </c>
      <c r="J35" s="95" t="s">
        <v>492</v>
      </c>
      <c r="K35" s="74">
        <v>8.49</v>
      </c>
      <c r="L35" s="74">
        <v>0.28299999999999997</v>
      </c>
      <c r="M35" s="74">
        <v>33.299999999999997</v>
      </c>
      <c r="N35" s="74">
        <v>10.5</v>
      </c>
      <c r="O35" s="74">
        <v>23</v>
      </c>
      <c r="P35" s="74">
        <v>1080</v>
      </c>
      <c r="Q35" s="74">
        <v>1310000</v>
      </c>
      <c r="R35" s="74">
        <v>26100</v>
      </c>
      <c r="S35" s="74">
        <v>33400</v>
      </c>
      <c r="T35" s="74">
        <v>34.799999999999997</v>
      </c>
      <c r="U35" s="74">
        <v>34.799999999999997</v>
      </c>
      <c r="V35">
        <v>441000</v>
      </c>
      <c r="W35" s="74">
        <v>17600</v>
      </c>
      <c r="X35" s="74">
        <v>20600</v>
      </c>
      <c r="Y35" s="74">
        <v>20.6</v>
      </c>
      <c r="Z35" s="95">
        <v>20.2</v>
      </c>
      <c r="AA35" s="95">
        <v>1130000</v>
      </c>
      <c r="AB35" s="74">
        <v>1.1299999999999999</v>
      </c>
      <c r="AC35" s="95" t="s">
        <v>558</v>
      </c>
      <c r="AD35" s="74">
        <v>1</v>
      </c>
      <c r="AE35" s="95" t="s">
        <v>494</v>
      </c>
      <c r="AF35" s="95">
        <v>33400</v>
      </c>
      <c r="AG35" s="74">
        <v>33.4</v>
      </c>
      <c r="AH35" s="95" t="s">
        <v>495</v>
      </c>
      <c r="AI35" s="95">
        <v>20300</v>
      </c>
      <c r="AJ35" s="74">
        <v>20.3</v>
      </c>
    </row>
    <row r="36" spans="1:36">
      <c r="A36" s="95" t="s">
        <v>680</v>
      </c>
      <c r="B36" s="74">
        <v>100</v>
      </c>
      <c r="C36" s="95">
        <v>450</v>
      </c>
      <c r="D36" s="95">
        <v>450</v>
      </c>
      <c r="E36" s="74">
        <v>50</v>
      </c>
      <c r="F36" s="95" t="s">
        <v>491</v>
      </c>
      <c r="G36" s="74">
        <v>3.5</v>
      </c>
      <c r="H36" s="74">
        <v>3.5</v>
      </c>
      <c r="I36" s="74">
        <v>0</v>
      </c>
      <c r="J36" s="95" t="s">
        <v>492</v>
      </c>
      <c r="K36" s="74">
        <v>7.53</v>
      </c>
      <c r="L36" s="74">
        <v>0.28499999999999998</v>
      </c>
      <c r="M36" s="74">
        <v>37.9</v>
      </c>
      <c r="N36" s="74">
        <v>12.3</v>
      </c>
      <c r="O36" s="74">
        <v>26.6</v>
      </c>
      <c r="P36" s="74">
        <v>959</v>
      </c>
      <c r="Q36" s="74">
        <v>1180000</v>
      </c>
      <c r="R36" s="74">
        <v>23600</v>
      </c>
      <c r="S36" s="74">
        <v>29900</v>
      </c>
      <c r="T36" s="74">
        <v>35.1</v>
      </c>
      <c r="U36" s="74">
        <v>35.1</v>
      </c>
      <c r="V36">
        <v>400000</v>
      </c>
      <c r="W36" s="74">
        <v>16000</v>
      </c>
      <c r="X36" s="74">
        <v>18500</v>
      </c>
      <c r="Y36" s="74">
        <v>18.5</v>
      </c>
      <c r="Z36" s="95">
        <v>20.399999999999999</v>
      </c>
      <c r="AA36" s="95">
        <v>1010000</v>
      </c>
      <c r="AB36" s="74">
        <v>1.01</v>
      </c>
      <c r="AC36" s="95" t="s">
        <v>578</v>
      </c>
      <c r="AD36" s="74">
        <v>1</v>
      </c>
      <c r="AE36" s="95" t="s">
        <v>494</v>
      </c>
      <c r="AF36" s="95">
        <v>29900</v>
      </c>
      <c r="AG36" s="74">
        <v>29.9</v>
      </c>
      <c r="AH36" s="95" t="s">
        <v>495</v>
      </c>
      <c r="AI36" s="95">
        <v>17100</v>
      </c>
      <c r="AJ36" s="74">
        <v>17.100000000000001</v>
      </c>
    </row>
    <row r="37" spans="1:36">
      <c r="A37" s="95" t="s">
        <v>681</v>
      </c>
      <c r="B37" s="74">
        <v>100</v>
      </c>
      <c r="C37" s="95">
        <v>450</v>
      </c>
      <c r="D37" s="95">
        <v>450</v>
      </c>
      <c r="E37" s="74">
        <v>50</v>
      </c>
      <c r="F37" s="95" t="s">
        <v>491</v>
      </c>
      <c r="G37" s="74">
        <v>3</v>
      </c>
      <c r="H37" s="74">
        <v>3</v>
      </c>
      <c r="I37" s="74">
        <v>0</v>
      </c>
      <c r="J37" s="95" t="s">
        <v>492</v>
      </c>
      <c r="K37" s="74">
        <v>6.6</v>
      </c>
      <c r="L37" s="74">
        <v>0.28999999999999998</v>
      </c>
      <c r="M37" s="74">
        <v>43.9</v>
      </c>
      <c r="N37" s="74">
        <v>14.7</v>
      </c>
      <c r="O37" s="74">
        <v>31.3</v>
      </c>
      <c r="P37" s="74">
        <v>841</v>
      </c>
      <c r="Q37" s="74">
        <v>1060000</v>
      </c>
      <c r="R37" s="74">
        <v>21300</v>
      </c>
      <c r="S37" s="74">
        <v>26700</v>
      </c>
      <c r="T37" s="74">
        <v>35.6</v>
      </c>
      <c r="U37" s="74">
        <v>35.6</v>
      </c>
      <c r="V37">
        <v>361000</v>
      </c>
      <c r="W37" s="74">
        <v>14400</v>
      </c>
      <c r="X37" s="74">
        <v>16400</v>
      </c>
      <c r="Y37" s="74">
        <v>16.399999999999999</v>
      </c>
      <c r="Z37" s="95">
        <v>20.7</v>
      </c>
      <c r="AA37" s="95">
        <v>886000</v>
      </c>
      <c r="AB37" s="74">
        <v>0.88600000000000001</v>
      </c>
      <c r="AC37" s="95" t="s">
        <v>579</v>
      </c>
      <c r="AD37" s="74">
        <v>0.96699999999999997</v>
      </c>
      <c r="AE37" s="95" t="s">
        <v>494</v>
      </c>
      <c r="AF37" s="95">
        <v>26700</v>
      </c>
      <c r="AG37" s="74">
        <v>26.7</v>
      </c>
      <c r="AH37" s="95" t="s">
        <v>496</v>
      </c>
      <c r="AI37" s="95">
        <v>13900</v>
      </c>
      <c r="AJ37" s="74">
        <v>13.9</v>
      </c>
    </row>
    <row r="38" spans="1:36">
      <c r="A38" s="95" t="s">
        <v>682</v>
      </c>
      <c r="B38" s="74">
        <v>100</v>
      </c>
      <c r="C38" s="95">
        <v>450</v>
      </c>
      <c r="D38" s="95">
        <v>450</v>
      </c>
      <c r="E38" s="74">
        <v>50</v>
      </c>
      <c r="F38" s="95" t="s">
        <v>491</v>
      </c>
      <c r="G38" s="74">
        <v>2.5</v>
      </c>
      <c r="H38" s="74">
        <v>2.5</v>
      </c>
      <c r="I38" s="74">
        <v>0</v>
      </c>
      <c r="J38" s="95" t="s">
        <v>492</v>
      </c>
      <c r="K38" s="74">
        <v>5.56</v>
      </c>
      <c r="L38" s="74">
        <v>0.29099999999999998</v>
      </c>
      <c r="M38" s="74">
        <v>52.4</v>
      </c>
      <c r="N38" s="74">
        <v>18</v>
      </c>
      <c r="O38" s="74">
        <v>38</v>
      </c>
      <c r="P38" s="74">
        <v>709</v>
      </c>
      <c r="Q38" s="74">
        <v>912000</v>
      </c>
      <c r="R38" s="74">
        <v>18200</v>
      </c>
      <c r="S38" s="74">
        <v>22700</v>
      </c>
      <c r="T38" s="74">
        <v>35.9</v>
      </c>
      <c r="U38" s="74">
        <v>35.9</v>
      </c>
      <c r="V38">
        <v>311000</v>
      </c>
      <c r="W38" s="74">
        <v>12400</v>
      </c>
      <c r="X38" s="74">
        <v>14000</v>
      </c>
      <c r="Y38" s="74">
        <v>14</v>
      </c>
      <c r="Z38" s="95">
        <v>20.9</v>
      </c>
      <c r="AA38" s="95">
        <v>754000</v>
      </c>
      <c r="AB38" s="74">
        <v>0.754</v>
      </c>
      <c r="AC38" s="95" t="s">
        <v>510</v>
      </c>
      <c r="AD38" s="74">
        <v>0.85599999999999998</v>
      </c>
      <c r="AE38" s="95" t="s">
        <v>494</v>
      </c>
      <c r="AF38" s="95">
        <v>22700</v>
      </c>
      <c r="AG38" s="74">
        <v>22.7</v>
      </c>
      <c r="AH38" s="95" t="s">
        <v>496</v>
      </c>
      <c r="AI38" s="95">
        <v>10400</v>
      </c>
      <c r="AJ38" s="74">
        <v>10.4</v>
      </c>
    </row>
    <row r="39" spans="1:36">
      <c r="A39" s="95" t="s">
        <v>683</v>
      </c>
      <c r="B39" s="74">
        <v>100</v>
      </c>
      <c r="C39" s="95">
        <v>450</v>
      </c>
      <c r="D39" s="95">
        <v>450</v>
      </c>
      <c r="E39" s="74">
        <v>50</v>
      </c>
      <c r="F39" s="95" t="s">
        <v>491</v>
      </c>
      <c r="G39" s="74">
        <v>2</v>
      </c>
      <c r="H39" s="74">
        <v>2</v>
      </c>
      <c r="I39" s="74">
        <v>0</v>
      </c>
      <c r="J39" s="95" t="s">
        <v>492</v>
      </c>
      <c r="K39" s="74">
        <v>4.5</v>
      </c>
      <c r="L39" s="74">
        <v>0.29299999999999998</v>
      </c>
      <c r="M39" s="74">
        <v>65.099999999999994</v>
      </c>
      <c r="N39" s="74">
        <v>23</v>
      </c>
      <c r="O39" s="74">
        <v>48</v>
      </c>
      <c r="P39" s="74">
        <v>574</v>
      </c>
      <c r="Q39" s="74">
        <v>750000</v>
      </c>
      <c r="R39" s="74">
        <v>15000</v>
      </c>
      <c r="S39" s="74">
        <v>18500</v>
      </c>
      <c r="T39" s="74">
        <v>36.200000000000003</v>
      </c>
      <c r="U39" s="74">
        <v>36.200000000000003</v>
      </c>
      <c r="V39">
        <v>257000</v>
      </c>
      <c r="W39" s="74">
        <v>10300</v>
      </c>
      <c r="X39" s="74">
        <v>11500</v>
      </c>
      <c r="Y39" s="74">
        <v>11.5</v>
      </c>
      <c r="Z39" s="95">
        <v>21.2</v>
      </c>
      <c r="AA39" s="95">
        <v>616000</v>
      </c>
      <c r="AB39" s="74">
        <v>0.61599999999999999</v>
      </c>
      <c r="AC39" s="95" t="s">
        <v>580</v>
      </c>
      <c r="AD39" s="74">
        <v>0.746</v>
      </c>
      <c r="AE39" s="95" t="s">
        <v>495</v>
      </c>
      <c r="AF39" s="95">
        <v>18200</v>
      </c>
      <c r="AG39" s="74">
        <v>18.2</v>
      </c>
      <c r="AH39" s="95" t="s">
        <v>496</v>
      </c>
      <c r="AI39" s="95">
        <v>7330</v>
      </c>
      <c r="AJ39" s="74">
        <v>7.33</v>
      </c>
    </row>
    <row r="40" spans="1:36">
      <c r="A40" s="95" t="s">
        <v>684</v>
      </c>
      <c r="B40" s="74">
        <v>100</v>
      </c>
      <c r="C40" s="95">
        <v>450</v>
      </c>
      <c r="D40" s="95">
        <v>450</v>
      </c>
      <c r="E40" s="74">
        <v>50</v>
      </c>
      <c r="F40" s="95" t="s">
        <v>491</v>
      </c>
      <c r="G40" s="74">
        <v>1.6</v>
      </c>
      <c r="H40" s="74">
        <v>1.6</v>
      </c>
      <c r="I40" s="74">
        <v>0</v>
      </c>
      <c r="J40" s="95" t="s">
        <v>492</v>
      </c>
      <c r="K40" s="74">
        <v>3.64</v>
      </c>
      <c r="L40" s="74">
        <v>0.29499999999999998</v>
      </c>
      <c r="M40" s="74">
        <v>81</v>
      </c>
      <c r="N40" s="74">
        <v>29.3</v>
      </c>
      <c r="O40" s="74">
        <v>60.5</v>
      </c>
      <c r="P40" s="74">
        <v>463</v>
      </c>
      <c r="Q40" s="74">
        <v>613000</v>
      </c>
      <c r="R40" s="74">
        <v>12300</v>
      </c>
      <c r="S40" s="74">
        <v>15000</v>
      </c>
      <c r="T40" s="74">
        <v>36.4</v>
      </c>
      <c r="U40" s="74">
        <v>36.4</v>
      </c>
      <c r="V40">
        <v>211000</v>
      </c>
      <c r="W40" s="74">
        <v>8430</v>
      </c>
      <c r="X40" s="74">
        <v>9330</v>
      </c>
      <c r="Y40" s="74">
        <v>9.33</v>
      </c>
      <c r="Z40" s="95">
        <v>21.3</v>
      </c>
      <c r="AA40" s="95">
        <v>501000</v>
      </c>
      <c r="AB40" s="74">
        <v>0.501</v>
      </c>
      <c r="AC40" s="95" t="s">
        <v>516</v>
      </c>
      <c r="AD40" s="74">
        <v>0.66100000000000003</v>
      </c>
      <c r="AE40" s="95" t="s">
        <v>495</v>
      </c>
      <c r="AF40" s="95">
        <v>12500</v>
      </c>
      <c r="AG40" s="74">
        <v>12.5</v>
      </c>
      <c r="AH40" s="95" t="s">
        <v>496</v>
      </c>
      <c r="AI40" s="95">
        <v>5190</v>
      </c>
      <c r="AJ40" s="74">
        <v>5.19</v>
      </c>
    </row>
    <row r="41" spans="1:36">
      <c r="A41" s="95" t="s">
        <v>674</v>
      </c>
      <c r="B41" s="74">
        <v>102</v>
      </c>
      <c r="C41" s="95">
        <v>450</v>
      </c>
      <c r="D41" s="95">
        <v>450</v>
      </c>
      <c r="E41" s="74">
        <v>76</v>
      </c>
      <c r="F41" s="95" t="s">
        <v>491</v>
      </c>
      <c r="G41" s="74">
        <v>6</v>
      </c>
      <c r="H41" s="74">
        <v>6</v>
      </c>
      <c r="I41" s="74">
        <v>0</v>
      </c>
      <c r="J41" s="95" t="s">
        <v>492</v>
      </c>
      <c r="K41" s="74">
        <v>14.7</v>
      </c>
      <c r="L41" s="74">
        <v>0.33</v>
      </c>
      <c r="M41" s="74">
        <v>22.5</v>
      </c>
      <c r="N41" s="74">
        <v>10.7</v>
      </c>
      <c r="O41" s="74">
        <v>15</v>
      </c>
      <c r="P41" s="74">
        <v>1870</v>
      </c>
      <c r="Q41" s="74">
        <v>2520000</v>
      </c>
      <c r="R41" s="74">
        <v>49400</v>
      </c>
      <c r="S41" s="74">
        <v>61900</v>
      </c>
      <c r="T41" s="74">
        <v>36.700000000000003</v>
      </c>
      <c r="U41" s="74">
        <v>36.700000000000003</v>
      </c>
      <c r="V41">
        <v>1590000</v>
      </c>
      <c r="W41" s="74">
        <v>42000</v>
      </c>
      <c r="X41" s="74">
        <v>50500</v>
      </c>
      <c r="Y41" s="74">
        <v>50.5</v>
      </c>
      <c r="Z41" s="95">
        <v>29.2</v>
      </c>
      <c r="AA41" s="95">
        <v>3380000</v>
      </c>
      <c r="AB41" s="74">
        <v>3.38</v>
      </c>
      <c r="AC41" s="95" t="s">
        <v>519</v>
      </c>
      <c r="AD41" s="74">
        <v>1</v>
      </c>
      <c r="AE41" s="95" t="s">
        <v>494</v>
      </c>
      <c r="AF41" s="95">
        <v>61900</v>
      </c>
      <c r="AG41" s="74">
        <v>61.9</v>
      </c>
      <c r="AH41" s="95" t="s">
        <v>494</v>
      </c>
      <c r="AI41" s="95">
        <v>50500</v>
      </c>
      <c r="AJ41" s="74">
        <v>50.5</v>
      </c>
    </row>
    <row r="42" spans="1:36">
      <c r="A42" s="95" t="s">
        <v>675</v>
      </c>
      <c r="B42" s="74">
        <v>102</v>
      </c>
      <c r="C42" s="95">
        <v>450</v>
      </c>
      <c r="D42" s="95">
        <v>450</v>
      </c>
      <c r="E42" s="74">
        <v>76</v>
      </c>
      <c r="F42" s="95" t="s">
        <v>491</v>
      </c>
      <c r="G42" s="74">
        <v>5</v>
      </c>
      <c r="H42" s="74">
        <v>5</v>
      </c>
      <c r="I42" s="74">
        <v>0</v>
      </c>
      <c r="J42" s="95" t="s">
        <v>492</v>
      </c>
      <c r="K42" s="74">
        <v>12.5</v>
      </c>
      <c r="L42" s="74">
        <v>0.33500000000000002</v>
      </c>
      <c r="M42" s="74">
        <v>26.7</v>
      </c>
      <c r="N42" s="74">
        <v>13.2</v>
      </c>
      <c r="O42" s="74">
        <v>18.399999999999999</v>
      </c>
      <c r="P42" s="74">
        <v>1590</v>
      </c>
      <c r="Q42" s="74">
        <v>2220000</v>
      </c>
      <c r="R42" s="74">
        <v>43500</v>
      </c>
      <c r="S42" s="74">
        <v>53700</v>
      </c>
      <c r="T42" s="74">
        <v>37.299999999999997</v>
      </c>
      <c r="U42" s="74">
        <v>37.299999999999997</v>
      </c>
      <c r="V42">
        <v>1410000</v>
      </c>
      <c r="W42" s="74">
        <v>37000</v>
      </c>
      <c r="X42" s="74">
        <v>43900</v>
      </c>
      <c r="Y42" s="74">
        <v>43.9</v>
      </c>
      <c r="Z42" s="95">
        <v>29.7</v>
      </c>
      <c r="AA42" s="95">
        <v>2910000</v>
      </c>
      <c r="AB42" s="74">
        <v>2.91</v>
      </c>
      <c r="AC42" s="95" t="s">
        <v>551</v>
      </c>
      <c r="AD42" s="74">
        <v>1</v>
      </c>
      <c r="AE42" s="95" t="s">
        <v>494</v>
      </c>
      <c r="AF42" s="95">
        <v>53700</v>
      </c>
      <c r="AG42" s="74">
        <v>53.7</v>
      </c>
      <c r="AH42" s="95" t="s">
        <v>494</v>
      </c>
      <c r="AI42" s="95">
        <v>43900</v>
      </c>
      <c r="AJ42" s="74">
        <v>43.9</v>
      </c>
    </row>
    <row r="43" spans="1:36">
      <c r="A43" s="95" t="s">
        <v>676</v>
      </c>
      <c r="B43" s="74">
        <v>102</v>
      </c>
      <c r="C43" s="95">
        <v>450</v>
      </c>
      <c r="D43" s="95">
        <v>450</v>
      </c>
      <c r="E43" s="74">
        <v>76</v>
      </c>
      <c r="F43" s="95" t="s">
        <v>491</v>
      </c>
      <c r="G43" s="74">
        <v>3.5</v>
      </c>
      <c r="H43" s="74">
        <v>3.5</v>
      </c>
      <c r="I43" s="74">
        <v>0</v>
      </c>
      <c r="J43" s="95" t="s">
        <v>492</v>
      </c>
      <c r="K43" s="74">
        <v>9.07</v>
      </c>
      <c r="L43" s="74">
        <v>0.34100000000000003</v>
      </c>
      <c r="M43" s="74">
        <v>37.6</v>
      </c>
      <c r="N43" s="74">
        <v>19.7</v>
      </c>
      <c r="O43" s="74">
        <v>27.1</v>
      </c>
      <c r="P43" s="74">
        <v>1150</v>
      </c>
      <c r="Q43" s="74">
        <v>1680000</v>
      </c>
      <c r="R43" s="74">
        <v>33000</v>
      </c>
      <c r="S43" s="74">
        <v>39900</v>
      </c>
      <c r="T43" s="74">
        <v>38.200000000000003</v>
      </c>
      <c r="U43" s="74">
        <v>38.200000000000003</v>
      </c>
      <c r="V43">
        <v>1070000</v>
      </c>
      <c r="W43" s="74">
        <v>28200</v>
      </c>
      <c r="X43" s="74">
        <v>32600</v>
      </c>
      <c r="Y43" s="74">
        <v>32.6</v>
      </c>
      <c r="Z43" s="95">
        <v>30.5</v>
      </c>
      <c r="AA43" s="95">
        <v>2140000</v>
      </c>
      <c r="AB43" s="74">
        <v>2.14</v>
      </c>
      <c r="AC43" s="95" t="s">
        <v>576</v>
      </c>
      <c r="AD43" s="74">
        <v>1</v>
      </c>
      <c r="AE43" s="95" t="s">
        <v>494</v>
      </c>
      <c r="AF43" s="95">
        <v>39900</v>
      </c>
      <c r="AG43" s="74">
        <v>39.9</v>
      </c>
      <c r="AH43" s="95" t="s">
        <v>495</v>
      </c>
      <c r="AI43" s="95">
        <v>29800</v>
      </c>
      <c r="AJ43" s="74">
        <v>29.8</v>
      </c>
    </row>
    <row r="44" spans="1:36">
      <c r="A44" s="95" t="s">
        <v>668</v>
      </c>
      <c r="B44" s="74">
        <v>125</v>
      </c>
      <c r="C44" s="95">
        <v>450</v>
      </c>
      <c r="D44" s="95">
        <v>450</v>
      </c>
      <c r="E44" s="74">
        <v>75</v>
      </c>
      <c r="F44" s="95" t="s">
        <v>491</v>
      </c>
      <c r="G44" s="74">
        <v>6</v>
      </c>
      <c r="H44" s="74">
        <v>6</v>
      </c>
      <c r="I44" s="74">
        <v>0</v>
      </c>
      <c r="J44" s="95" t="s">
        <v>492</v>
      </c>
      <c r="K44" s="74">
        <v>16.7</v>
      </c>
      <c r="L44" s="74">
        <v>0.374</v>
      </c>
      <c r="M44" s="74">
        <v>22.4</v>
      </c>
      <c r="N44" s="74">
        <v>10.5</v>
      </c>
      <c r="O44" s="74">
        <v>18.8</v>
      </c>
      <c r="P44" s="74">
        <v>2130</v>
      </c>
      <c r="Q44" s="74">
        <v>4160000</v>
      </c>
      <c r="R44" s="74">
        <v>66600</v>
      </c>
      <c r="S44" s="74">
        <v>84200</v>
      </c>
      <c r="T44" s="74">
        <v>44.2</v>
      </c>
      <c r="U44" s="74">
        <v>44.2</v>
      </c>
      <c r="V44">
        <v>1870000</v>
      </c>
      <c r="W44" s="74">
        <v>50000</v>
      </c>
      <c r="X44" s="74">
        <v>59100</v>
      </c>
      <c r="Y44" s="74">
        <v>59.1</v>
      </c>
      <c r="Z44" s="95">
        <v>29.6</v>
      </c>
      <c r="AA44" s="95">
        <v>4440000</v>
      </c>
      <c r="AB44" s="74">
        <v>4.4400000000000004</v>
      </c>
      <c r="AC44" s="95" t="s">
        <v>518</v>
      </c>
      <c r="AD44" s="74">
        <v>1</v>
      </c>
      <c r="AE44" s="95" t="s">
        <v>494</v>
      </c>
      <c r="AF44" s="95">
        <v>84200</v>
      </c>
      <c r="AG44" s="74">
        <v>84.2</v>
      </c>
      <c r="AH44" s="95" t="s">
        <v>494</v>
      </c>
      <c r="AI44" s="95">
        <v>59100</v>
      </c>
      <c r="AJ44" s="74">
        <v>59.1</v>
      </c>
    </row>
    <row r="45" spans="1:36">
      <c r="A45" s="95" t="s">
        <v>669</v>
      </c>
      <c r="B45" s="74">
        <v>125</v>
      </c>
      <c r="C45" s="95">
        <v>450</v>
      </c>
      <c r="D45" s="95">
        <v>450</v>
      </c>
      <c r="E45" s="74">
        <v>75</v>
      </c>
      <c r="F45" s="95" t="s">
        <v>491</v>
      </c>
      <c r="G45" s="74">
        <v>5</v>
      </c>
      <c r="H45" s="74">
        <v>5</v>
      </c>
      <c r="I45" s="74">
        <v>0</v>
      </c>
      <c r="J45" s="95" t="s">
        <v>492</v>
      </c>
      <c r="K45" s="74">
        <v>14.2</v>
      </c>
      <c r="L45" s="74">
        <v>0.379</v>
      </c>
      <c r="M45" s="74">
        <v>26.6</v>
      </c>
      <c r="N45" s="74">
        <v>13</v>
      </c>
      <c r="O45" s="74">
        <v>23</v>
      </c>
      <c r="P45" s="74">
        <v>1810</v>
      </c>
      <c r="Q45" s="74">
        <v>3640000</v>
      </c>
      <c r="R45" s="74">
        <v>58300</v>
      </c>
      <c r="S45" s="74">
        <v>72700</v>
      </c>
      <c r="T45" s="74">
        <v>44.8</v>
      </c>
      <c r="U45" s="74">
        <v>44.8</v>
      </c>
      <c r="V45">
        <v>1650000</v>
      </c>
      <c r="W45" s="74">
        <v>43900</v>
      </c>
      <c r="X45" s="74">
        <v>51100</v>
      </c>
      <c r="Y45" s="74">
        <v>51.1</v>
      </c>
      <c r="Z45" s="95">
        <v>30.1</v>
      </c>
      <c r="AA45" s="95">
        <v>3830000</v>
      </c>
      <c r="AB45" s="74">
        <v>3.83</v>
      </c>
      <c r="AC45" s="95" t="s">
        <v>571</v>
      </c>
      <c r="AD45" s="74">
        <v>1</v>
      </c>
      <c r="AE45" s="95" t="s">
        <v>494</v>
      </c>
      <c r="AF45" s="95">
        <v>72700</v>
      </c>
      <c r="AG45" s="74">
        <v>72.7</v>
      </c>
      <c r="AH45" s="95" t="s">
        <v>495</v>
      </c>
      <c r="AI45" s="95">
        <v>50500</v>
      </c>
      <c r="AJ45" s="74">
        <v>50.5</v>
      </c>
    </row>
    <row r="46" spans="1:36">
      <c r="A46" s="95" t="s">
        <v>670</v>
      </c>
      <c r="B46" s="74">
        <v>125</v>
      </c>
      <c r="C46" s="95">
        <v>450</v>
      </c>
      <c r="D46" s="95">
        <v>450</v>
      </c>
      <c r="E46" s="74">
        <v>75</v>
      </c>
      <c r="F46" s="95" t="s">
        <v>491</v>
      </c>
      <c r="G46" s="74">
        <v>4</v>
      </c>
      <c r="H46" s="74">
        <v>4</v>
      </c>
      <c r="I46" s="74">
        <v>0</v>
      </c>
      <c r="J46" s="95" t="s">
        <v>492</v>
      </c>
      <c r="K46" s="74">
        <v>11.6</v>
      </c>
      <c r="L46" s="74">
        <v>0.38300000000000001</v>
      </c>
      <c r="M46" s="74">
        <v>32.9</v>
      </c>
      <c r="N46" s="74">
        <v>16.8</v>
      </c>
      <c r="O46" s="74">
        <v>29.3</v>
      </c>
      <c r="P46" s="74">
        <v>1480</v>
      </c>
      <c r="Q46" s="74">
        <v>3050000</v>
      </c>
      <c r="R46" s="74">
        <v>48900</v>
      </c>
      <c r="S46" s="74">
        <v>60300</v>
      </c>
      <c r="T46" s="74">
        <v>45.4</v>
      </c>
      <c r="U46" s="74">
        <v>45.4</v>
      </c>
      <c r="V46">
        <v>1390000</v>
      </c>
      <c r="W46" s="74">
        <v>37000</v>
      </c>
      <c r="X46" s="74">
        <v>42400</v>
      </c>
      <c r="Y46" s="74">
        <v>42.4</v>
      </c>
      <c r="Z46" s="95">
        <v>30.6</v>
      </c>
      <c r="AA46" s="95">
        <v>3160000</v>
      </c>
      <c r="AB46" s="74">
        <v>3.16</v>
      </c>
      <c r="AC46" s="95" t="s">
        <v>572</v>
      </c>
      <c r="AD46" s="74">
        <v>1</v>
      </c>
      <c r="AE46" s="95" t="s">
        <v>494</v>
      </c>
      <c r="AF46" s="95">
        <v>60300</v>
      </c>
      <c r="AG46" s="74">
        <v>60.3</v>
      </c>
      <c r="AH46" s="95" t="s">
        <v>495</v>
      </c>
      <c r="AI46" s="95">
        <v>37400</v>
      </c>
      <c r="AJ46" s="74">
        <v>37.4</v>
      </c>
    </row>
    <row r="47" spans="1:36">
      <c r="A47" s="95" t="s">
        <v>671</v>
      </c>
      <c r="B47" s="74">
        <v>125</v>
      </c>
      <c r="C47" s="95">
        <v>450</v>
      </c>
      <c r="D47" s="95">
        <v>450</v>
      </c>
      <c r="E47" s="74">
        <v>75</v>
      </c>
      <c r="F47" s="95" t="s">
        <v>491</v>
      </c>
      <c r="G47" s="74">
        <v>3</v>
      </c>
      <c r="H47" s="74">
        <v>3</v>
      </c>
      <c r="I47" s="74">
        <v>0</v>
      </c>
      <c r="J47" s="95" t="s">
        <v>492</v>
      </c>
      <c r="K47" s="74">
        <v>8.9600000000000009</v>
      </c>
      <c r="L47" s="74">
        <v>0.39</v>
      </c>
      <c r="M47" s="74">
        <v>43.5</v>
      </c>
      <c r="N47" s="74">
        <v>23</v>
      </c>
      <c r="O47" s="74">
        <v>39.700000000000003</v>
      </c>
      <c r="P47" s="74">
        <v>1140</v>
      </c>
      <c r="Q47" s="74">
        <v>2430000</v>
      </c>
      <c r="R47" s="74">
        <v>38900</v>
      </c>
      <c r="S47" s="74">
        <v>47300</v>
      </c>
      <c r="T47" s="74">
        <v>46.1</v>
      </c>
      <c r="U47" s="74">
        <v>46.1</v>
      </c>
      <c r="V47">
        <v>1110000</v>
      </c>
      <c r="W47" s="74">
        <v>29500</v>
      </c>
      <c r="X47" s="74">
        <v>33300</v>
      </c>
      <c r="Y47" s="74">
        <v>33.299999999999997</v>
      </c>
      <c r="Z47" s="95">
        <v>31.1</v>
      </c>
      <c r="AA47" s="95">
        <v>2430000</v>
      </c>
      <c r="AB47" s="74">
        <v>2.4300000000000002</v>
      </c>
      <c r="AC47" s="95" t="s">
        <v>573</v>
      </c>
      <c r="AD47" s="74">
        <v>0.84499999999999997</v>
      </c>
      <c r="AE47" s="95" t="s">
        <v>495</v>
      </c>
      <c r="AF47" s="95">
        <v>46500</v>
      </c>
      <c r="AG47" s="74">
        <v>46.5</v>
      </c>
      <c r="AH47" s="95" t="s">
        <v>496</v>
      </c>
      <c r="AI47" s="95">
        <v>24200</v>
      </c>
      <c r="AJ47" s="74">
        <v>24.2</v>
      </c>
    </row>
    <row r="48" spans="1:36">
      <c r="A48" s="95" t="s">
        <v>672</v>
      </c>
      <c r="B48" s="74">
        <v>125</v>
      </c>
      <c r="C48" s="95">
        <v>450</v>
      </c>
      <c r="D48" s="95">
        <v>450</v>
      </c>
      <c r="E48" s="74">
        <v>75</v>
      </c>
      <c r="F48" s="95" t="s">
        <v>491</v>
      </c>
      <c r="G48" s="74">
        <v>2.5</v>
      </c>
      <c r="H48" s="74">
        <v>2.5</v>
      </c>
      <c r="I48" s="74">
        <v>0</v>
      </c>
      <c r="J48" s="95" t="s">
        <v>492</v>
      </c>
      <c r="K48" s="74">
        <v>7.53</v>
      </c>
      <c r="L48" s="74">
        <v>0.39100000000000001</v>
      </c>
      <c r="M48" s="74">
        <v>52</v>
      </c>
      <c r="N48" s="74">
        <v>28</v>
      </c>
      <c r="O48" s="74">
        <v>48</v>
      </c>
      <c r="P48" s="74">
        <v>959</v>
      </c>
      <c r="Q48" s="74">
        <v>2069999.9999999998</v>
      </c>
      <c r="R48" s="74">
        <v>33000</v>
      </c>
      <c r="S48" s="74">
        <v>40000</v>
      </c>
      <c r="T48" s="74">
        <v>46.4</v>
      </c>
      <c r="U48" s="74">
        <v>46.4</v>
      </c>
      <c r="V48">
        <v>942000</v>
      </c>
      <c r="W48" s="74">
        <v>25100</v>
      </c>
      <c r="X48" s="74">
        <v>28200</v>
      </c>
      <c r="Y48" s="74">
        <v>28.2</v>
      </c>
      <c r="Z48" s="95">
        <v>31.4</v>
      </c>
      <c r="AA48" s="95">
        <v>2049999.9999999998</v>
      </c>
      <c r="AB48" s="74">
        <v>2.0499999999999998</v>
      </c>
      <c r="AC48" s="95" t="s">
        <v>574</v>
      </c>
      <c r="AD48" s="74">
        <v>0.76300000000000001</v>
      </c>
      <c r="AE48" s="95" t="s">
        <v>495</v>
      </c>
      <c r="AF48" s="95">
        <v>34700</v>
      </c>
      <c r="AG48" s="74">
        <v>34.700000000000003</v>
      </c>
      <c r="AH48" s="95" t="s">
        <v>496</v>
      </c>
      <c r="AI48" s="95">
        <v>18200</v>
      </c>
      <c r="AJ48" s="74">
        <v>18.2</v>
      </c>
    </row>
    <row r="49" spans="1:40">
      <c r="A49" s="95" t="s">
        <v>673</v>
      </c>
      <c r="B49" s="74">
        <v>125</v>
      </c>
      <c r="C49" s="95">
        <v>450</v>
      </c>
      <c r="D49" s="95">
        <v>450</v>
      </c>
      <c r="E49" s="74">
        <v>75</v>
      </c>
      <c r="F49" s="95" t="s">
        <v>491</v>
      </c>
      <c r="G49" s="74">
        <v>2</v>
      </c>
      <c r="H49" s="74">
        <v>2</v>
      </c>
      <c r="I49" s="74">
        <v>0</v>
      </c>
      <c r="J49" s="95" t="s">
        <v>492</v>
      </c>
      <c r="K49" s="74">
        <v>6.07</v>
      </c>
      <c r="L49" s="74">
        <v>0.39300000000000002</v>
      </c>
      <c r="M49" s="74">
        <v>64.7</v>
      </c>
      <c r="N49" s="74">
        <v>35.5</v>
      </c>
      <c r="O49" s="74">
        <v>60.5</v>
      </c>
      <c r="P49" s="74">
        <v>774</v>
      </c>
      <c r="Q49" s="74">
        <v>1690000</v>
      </c>
      <c r="R49" s="74">
        <v>27000</v>
      </c>
      <c r="S49" s="74">
        <v>32500</v>
      </c>
      <c r="T49" s="74">
        <v>46.7</v>
      </c>
      <c r="U49" s="74">
        <v>46.7</v>
      </c>
      <c r="V49">
        <v>771000</v>
      </c>
      <c r="W49" s="74">
        <v>20600</v>
      </c>
      <c r="X49" s="74">
        <v>22900</v>
      </c>
      <c r="Y49" s="74">
        <v>22.9</v>
      </c>
      <c r="Z49" s="95">
        <v>31.6</v>
      </c>
      <c r="AA49" s="95">
        <v>1670000</v>
      </c>
      <c r="AB49" s="74">
        <v>1.67</v>
      </c>
      <c r="AC49" s="95" t="s">
        <v>575</v>
      </c>
      <c r="AD49" s="74">
        <v>0.624</v>
      </c>
      <c r="AE49" s="95" t="s">
        <v>496</v>
      </c>
      <c r="AF49" s="95">
        <v>24800</v>
      </c>
      <c r="AG49" s="74">
        <v>24.8</v>
      </c>
      <c r="AH49" s="95" t="s">
        <v>496</v>
      </c>
      <c r="AI49" s="95">
        <v>13000</v>
      </c>
      <c r="AJ49" s="74">
        <v>13</v>
      </c>
    </row>
    <row r="50" spans="1:40">
      <c r="A50" s="95" t="s">
        <v>665</v>
      </c>
      <c r="B50" s="74">
        <v>127</v>
      </c>
      <c r="C50" s="95">
        <v>450</v>
      </c>
      <c r="D50" s="95">
        <v>450</v>
      </c>
      <c r="E50" s="74">
        <v>51</v>
      </c>
      <c r="F50" s="95" t="s">
        <v>491</v>
      </c>
      <c r="G50" s="74">
        <v>6</v>
      </c>
      <c r="H50" s="74">
        <v>6</v>
      </c>
      <c r="I50" s="74">
        <v>0</v>
      </c>
      <c r="J50" s="95" t="s">
        <v>492</v>
      </c>
      <c r="K50" s="74">
        <v>14.7</v>
      </c>
      <c r="L50" s="74">
        <v>0.33</v>
      </c>
      <c r="M50" s="74">
        <v>22.5</v>
      </c>
      <c r="N50" s="74">
        <v>6.5</v>
      </c>
      <c r="O50" s="74">
        <v>19.2</v>
      </c>
      <c r="P50" s="74">
        <v>1870</v>
      </c>
      <c r="Q50" s="74">
        <v>3280000</v>
      </c>
      <c r="R50" s="74">
        <v>51600</v>
      </c>
      <c r="S50" s="74">
        <v>68900</v>
      </c>
      <c r="T50" s="74">
        <v>41.9</v>
      </c>
      <c r="U50" s="74">
        <v>41.9</v>
      </c>
      <c r="V50">
        <v>761000</v>
      </c>
      <c r="W50" s="74">
        <v>29800</v>
      </c>
      <c r="X50" s="74">
        <v>35800</v>
      </c>
      <c r="Y50" s="74">
        <v>35.799999999999997</v>
      </c>
      <c r="Z50" s="95">
        <v>20.2</v>
      </c>
      <c r="AA50" s="95">
        <v>2200000</v>
      </c>
      <c r="AB50" s="74">
        <v>2.2000000000000002</v>
      </c>
      <c r="AC50" s="95" t="s">
        <v>517</v>
      </c>
      <c r="AD50" s="74">
        <v>1</v>
      </c>
      <c r="AE50" s="95" t="s">
        <v>494</v>
      </c>
      <c r="AF50" s="95">
        <v>68900</v>
      </c>
      <c r="AG50" s="74">
        <v>68.900000000000006</v>
      </c>
      <c r="AH50" s="95" t="s">
        <v>494</v>
      </c>
      <c r="AI50" s="95">
        <v>35800</v>
      </c>
      <c r="AJ50" s="74">
        <v>35.799999999999997</v>
      </c>
    </row>
    <row r="51" spans="1:40">
      <c r="A51" s="95" t="s">
        <v>666</v>
      </c>
      <c r="B51" s="74">
        <v>127</v>
      </c>
      <c r="C51" s="95">
        <v>450</v>
      </c>
      <c r="D51" s="95">
        <v>450</v>
      </c>
      <c r="E51" s="74">
        <v>51</v>
      </c>
      <c r="F51" s="95" t="s">
        <v>491</v>
      </c>
      <c r="G51" s="74">
        <v>5</v>
      </c>
      <c r="H51" s="74">
        <v>5</v>
      </c>
      <c r="I51" s="74">
        <v>0</v>
      </c>
      <c r="J51" s="95" t="s">
        <v>492</v>
      </c>
      <c r="K51" s="74">
        <v>12.5</v>
      </c>
      <c r="L51" s="74">
        <v>0.33500000000000002</v>
      </c>
      <c r="M51" s="74">
        <v>26.7</v>
      </c>
      <c r="N51" s="74">
        <v>8.1999999999999993</v>
      </c>
      <c r="O51" s="74">
        <v>23.4</v>
      </c>
      <c r="P51" s="74">
        <v>1590</v>
      </c>
      <c r="Q51" s="74">
        <v>2890000</v>
      </c>
      <c r="R51" s="74">
        <v>45600</v>
      </c>
      <c r="S51" s="74">
        <v>59900</v>
      </c>
      <c r="T51" s="74">
        <v>42.6</v>
      </c>
      <c r="U51" s="74">
        <v>42.6</v>
      </c>
      <c r="V51">
        <v>679000</v>
      </c>
      <c r="W51" s="74">
        <v>26600</v>
      </c>
      <c r="X51" s="74">
        <v>31300</v>
      </c>
      <c r="Y51" s="74">
        <v>31.3</v>
      </c>
      <c r="Z51" s="95">
        <v>20.6</v>
      </c>
      <c r="AA51" s="95">
        <v>1930000</v>
      </c>
      <c r="AB51" s="74">
        <v>1.93</v>
      </c>
      <c r="AC51" s="95" t="s">
        <v>569</v>
      </c>
      <c r="AD51" s="74">
        <v>1</v>
      </c>
      <c r="AE51" s="95" t="s">
        <v>494</v>
      </c>
      <c r="AF51" s="95">
        <v>59900</v>
      </c>
      <c r="AG51" s="74">
        <v>59.9</v>
      </c>
      <c r="AH51" s="95" t="s">
        <v>495</v>
      </c>
      <c r="AI51" s="95">
        <v>30600</v>
      </c>
      <c r="AJ51" s="74">
        <v>30.6</v>
      </c>
    </row>
    <row r="52" spans="1:40">
      <c r="A52" s="95" t="s">
        <v>667</v>
      </c>
      <c r="B52" s="74">
        <v>127</v>
      </c>
      <c r="C52" s="95">
        <v>450</v>
      </c>
      <c r="D52" s="95">
        <v>450</v>
      </c>
      <c r="E52" s="74">
        <v>51</v>
      </c>
      <c r="F52" s="95" t="s">
        <v>491</v>
      </c>
      <c r="G52" s="74">
        <v>3.5</v>
      </c>
      <c r="H52" s="74">
        <v>3.5</v>
      </c>
      <c r="I52" s="74">
        <v>0</v>
      </c>
      <c r="J52" s="95" t="s">
        <v>492</v>
      </c>
      <c r="K52" s="74">
        <v>9.07</v>
      </c>
      <c r="L52" s="74">
        <v>0.34100000000000003</v>
      </c>
      <c r="M52" s="74">
        <v>37.6</v>
      </c>
      <c r="N52" s="74">
        <v>12.6</v>
      </c>
      <c r="O52" s="74">
        <v>34.299999999999997</v>
      </c>
      <c r="P52" s="74">
        <v>1150</v>
      </c>
      <c r="Q52" s="74">
        <v>2200000</v>
      </c>
      <c r="R52" s="74">
        <v>34700</v>
      </c>
      <c r="S52" s="74">
        <v>44600</v>
      </c>
      <c r="T52" s="74">
        <v>43.7</v>
      </c>
      <c r="U52" s="74">
        <v>43.7</v>
      </c>
      <c r="V52">
        <v>526000</v>
      </c>
      <c r="W52" s="74">
        <v>20600</v>
      </c>
      <c r="X52" s="74">
        <v>23400</v>
      </c>
      <c r="Y52" s="74">
        <v>23.4</v>
      </c>
      <c r="Z52" s="95">
        <v>21.3</v>
      </c>
      <c r="AA52" s="95">
        <v>1440000</v>
      </c>
      <c r="AB52" s="74">
        <v>1.44</v>
      </c>
      <c r="AC52" s="95" t="s">
        <v>570</v>
      </c>
      <c r="AD52" s="74">
        <v>0.90500000000000003</v>
      </c>
      <c r="AE52" s="95" t="s">
        <v>494</v>
      </c>
      <c r="AF52" s="95">
        <v>44600</v>
      </c>
      <c r="AG52" s="74">
        <v>44.6</v>
      </c>
      <c r="AH52" s="95" t="s">
        <v>496</v>
      </c>
      <c r="AI52" s="95">
        <v>18500</v>
      </c>
      <c r="AJ52" s="74">
        <v>18.5</v>
      </c>
    </row>
    <row r="53" spans="1:40">
      <c r="A53" s="95" t="s">
        <v>654</v>
      </c>
      <c r="B53" s="74">
        <v>150</v>
      </c>
      <c r="C53" s="95">
        <v>450</v>
      </c>
      <c r="D53" s="95">
        <v>450</v>
      </c>
      <c r="E53" s="74">
        <v>100</v>
      </c>
      <c r="F53" s="95" t="s">
        <v>491</v>
      </c>
      <c r="G53" s="74">
        <v>10</v>
      </c>
      <c r="H53" s="74">
        <v>10</v>
      </c>
      <c r="I53" s="74">
        <v>0</v>
      </c>
      <c r="J53" s="95" t="s">
        <v>492</v>
      </c>
      <c r="K53" s="74">
        <v>33.4</v>
      </c>
      <c r="L53" s="74">
        <v>0.45700000000000002</v>
      </c>
      <c r="M53" s="74">
        <v>13.7</v>
      </c>
      <c r="N53" s="74">
        <v>8</v>
      </c>
      <c r="O53" s="74">
        <v>13</v>
      </c>
      <c r="P53" s="74">
        <v>4260</v>
      </c>
      <c r="Q53" s="74">
        <v>11600000</v>
      </c>
      <c r="R53" s="74">
        <v>155000</v>
      </c>
      <c r="S53" s="74">
        <v>199000</v>
      </c>
      <c r="T53" s="74">
        <v>52.2</v>
      </c>
      <c r="U53" s="74">
        <v>52.2</v>
      </c>
      <c r="V53">
        <v>6140000</v>
      </c>
      <c r="W53" s="74">
        <v>123000</v>
      </c>
      <c r="X53" s="74">
        <v>150000</v>
      </c>
      <c r="Y53" s="74">
        <v>150</v>
      </c>
      <c r="Z53" s="95">
        <v>38</v>
      </c>
      <c r="AA53" s="95">
        <v>14300000</v>
      </c>
      <c r="AB53" s="74">
        <v>14.3</v>
      </c>
      <c r="AC53" s="95" t="s">
        <v>513</v>
      </c>
      <c r="AD53" s="74">
        <v>1</v>
      </c>
      <c r="AE53" s="95" t="s">
        <v>494</v>
      </c>
      <c r="AF53" s="95">
        <v>199000</v>
      </c>
      <c r="AG53" s="74">
        <v>199</v>
      </c>
      <c r="AH53" s="95" t="s">
        <v>494</v>
      </c>
      <c r="AI53" s="95">
        <v>150000</v>
      </c>
      <c r="AJ53" s="74">
        <v>150</v>
      </c>
    </row>
    <row r="54" spans="1:40">
      <c r="A54" s="95" t="s">
        <v>655</v>
      </c>
      <c r="B54" s="74">
        <v>150</v>
      </c>
      <c r="C54" s="95">
        <v>450</v>
      </c>
      <c r="D54" s="95">
        <v>450</v>
      </c>
      <c r="E54" s="74">
        <v>100</v>
      </c>
      <c r="F54" s="95" t="s">
        <v>491</v>
      </c>
      <c r="G54" s="74">
        <v>9</v>
      </c>
      <c r="H54" s="74">
        <v>9</v>
      </c>
      <c r="I54" s="74">
        <v>0</v>
      </c>
      <c r="J54" s="95" t="s">
        <v>492</v>
      </c>
      <c r="K54" s="74">
        <v>30.6</v>
      </c>
      <c r="L54" s="74">
        <v>0.46100000000000002</v>
      </c>
      <c r="M54" s="74">
        <v>15.1</v>
      </c>
      <c r="N54" s="74">
        <v>9.11</v>
      </c>
      <c r="O54" s="74">
        <v>14.7</v>
      </c>
      <c r="P54" s="74">
        <v>3900</v>
      </c>
      <c r="Q54" s="74">
        <v>10900000</v>
      </c>
      <c r="R54" s="74">
        <v>145000</v>
      </c>
      <c r="S54" s="74">
        <v>185000</v>
      </c>
      <c r="T54" s="74">
        <v>52.9</v>
      </c>
      <c r="U54" s="74">
        <v>52.9</v>
      </c>
      <c r="V54">
        <v>5770000</v>
      </c>
      <c r="W54" s="74">
        <v>115000</v>
      </c>
      <c r="X54" s="74">
        <v>140000</v>
      </c>
      <c r="Y54" s="74">
        <v>140</v>
      </c>
      <c r="Z54" s="95">
        <v>38.5</v>
      </c>
      <c r="AA54" s="95">
        <v>13200000</v>
      </c>
      <c r="AB54" s="74">
        <v>13.2</v>
      </c>
      <c r="AC54" s="95" t="s">
        <v>560</v>
      </c>
      <c r="AD54" s="74">
        <v>1</v>
      </c>
      <c r="AE54" s="95" t="s">
        <v>494</v>
      </c>
      <c r="AF54" s="95">
        <v>185000</v>
      </c>
      <c r="AG54" s="74">
        <v>185</v>
      </c>
      <c r="AH54" s="95" t="s">
        <v>494</v>
      </c>
      <c r="AI54" s="95">
        <v>140000</v>
      </c>
      <c r="AJ54" s="74">
        <v>140</v>
      </c>
    </row>
    <row r="55" spans="1:40">
      <c r="A55" s="95" t="s">
        <v>656</v>
      </c>
      <c r="B55" s="74">
        <v>150</v>
      </c>
      <c r="C55" s="95">
        <v>450</v>
      </c>
      <c r="D55" s="95">
        <v>450</v>
      </c>
      <c r="E55" s="74">
        <v>100</v>
      </c>
      <c r="F55" s="95" t="s">
        <v>491</v>
      </c>
      <c r="G55" s="74">
        <v>8</v>
      </c>
      <c r="H55" s="74">
        <v>8</v>
      </c>
      <c r="I55" s="74">
        <v>0</v>
      </c>
      <c r="J55" s="95" t="s">
        <v>492</v>
      </c>
      <c r="K55" s="74">
        <v>27.7</v>
      </c>
      <c r="L55" s="74">
        <v>0.46600000000000003</v>
      </c>
      <c r="M55" s="74">
        <v>16.8</v>
      </c>
      <c r="N55" s="74">
        <v>10.5</v>
      </c>
      <c r="O55" s="74">
        <v>16.8</v>
      </c>
      <c r="P55" s="74">
        <v>3520</v>
      </c>
      <c r="Q55" s="74">
        <v>10100000</v>
      </c>
      <c r="R55" s="74">
        <v>134000</v>
      </c>
      <c r="S55" s="74">
        <v>169000</v>
      </c>
      <c r="T55" s="74">
        <v>53.5</v>
      </c>
      <c r="U55" s="74">
        <v>53.5</v>
      </c>
      <c r="V55">
        <v>5360000</v>
      </c>
      <c r="W55" s="74">
        <v>107000</v>
      </c>
      <c r="X55" s="74">
        <v>128000</v>
      </c>
      <c r="Y55" s="74">
        <v>128</v>
      </c>
      <c r="Z55" s="95">
        <v>39</v>
      </c>
      <c r="AA55" s="95">
        <v>12100000</v>
      </c>
      <c r="AB55" s="74">
        <v>12.1</v>
      </c>
      <c r="AC55" s="95" t="s">
        <v>561</v>
      </c>
      <c r="AD55" s="74">
        <v>1</v>
      </c>
      <c r="AE55" s="95" t="s">
        <v>494</v>
      </c>
      <c r="AF55" s="95">
        <v>169000</v>
      </c>
      <c r="AG55" s="74">
        <v>169</v>
      </c>
      <c r="AH55" s="95" t="s">
        <v>494</v>
      </c>
      <c r="AI55" s="95">
        <v>128000</v>
      </c>
      <c r="AJ55" s="74">
        <v>128</v>
      </c>
    </row>
    <row r="56" spans="1:40">
      <c r="A56" s="95" t="s">
        <v>657</v>
      </c>
      <c r="B56" s="74">
        <v>150</v>
      </c>
      <c r="C56" s="95">
        <v>450</v>
      </c>
      <c r="D56" s="95">
        <v>450</v>
      </c>
      <c r="E56" s="74">
        <v>100</v>
      </c>
      <c r="F56" s="95" t="s">
        <v>491</v>
      </c>
      <c r="G56" s="74">
        <v>6</v>
      </c>
      <c r="H56" s="74">
        <v>6</v>
      </c>
      <c r="I56" s="74">
        <v>0</v>
      </c>
      <c r="J56" s="95" t="s">
        <v>492</v>
      </c>
      <c r="K56" s="74">
        <v>21.4</v>
      </c>
      <c r="L56" s="74">
        <v>0.47399999999999998</v>
      </c>
      <c r="M56" s="74">
        <v>22.1</v>
      </c>
      <c r="N56" s="74">
        <v>14.7</v>
      </c>
      <c r="O56" s="74">
        <v>23</v>
      </c>
      <c r="P56" s="74">
        <v>2730</v>
      </c>
      <c r="Q56" s="74">
        <v>8170000</v>
      </c>
      <c r="R56" s="74">
        <v>109000</v>
      </c>
      <c r="S56" s="74">
        <v>134000</v>
      </c>
      <c r="T56" s="74">
        <v>54.7</v>
      </c>
      <c r="U56" s="74">
        <v>54.7</v>
      </c>
      <c r="V56">
        <v>4360000</v>
      </c>
      <c r="W56" s="74">
        <v>87300</v>
      </c>
      <c r="X56" s="74">
        <v>102000</v>
      </c>
      <c r="Y56" s="74">
        <v>102</v>
      </c>
      <c r="Z56" s="95">
        <v>40</v>
      </c>
      <c r="AA56" s="95">
        <v>9510000</v>
      </c>
      <c r="AB56" s="74">
        <v>9.51</v>
      </c>
      <c r="AC56" s="95" t="s">
        <v>562</v>
      </c>
      <c r="AD56" s="74">
        <v>1</v>
      </c>
      <c r="AE56" s="95" t="s">
        <v>494</v>
      </c>
      <c r="AF56" s="95">
        <v>134000</v>
      </c>
      <c r="AG56" s="74">
        <v>134</v>
      </c>
      <c r="AH56" s="95" t="s">
        <v>495</v>
      </c>
      <c r="AI56" s="95">
        <v>101000</v>
      </c>
      <c r="AJ56" s="74">
        <v>101</v>
      </c>
    </row>
    <row r="57" spans="1:40">
      <c r="A57" s="95" t="s">
        <v>658</v>
      </c>
      <c r="B57" s="74">
        <v>150</v>
      </c>
      <c r="C57" s="95">
        <v>450</v>
      </c>
      <c r="D57" s="95">
        <v>450</v>
      </c>
      <c r="E57" s="74">
        <v>100</v>
      </c>
      <c r="F57" s="95" t="s">
        <v>491</v>
      </c>
      <c r="G57" s="74">
        <v>5</v>
      </c>
      <c r="H57" s="74">
        <v>5</v>
      </c>
      <c r="I57" s="74">
        <v>0</v>
      </c>
      <c r="J57" s="95" t="s">
        <v>492</v>
      </c>
      <c r="K57" s="74">
        <v>18.2</v>
      </c>
      <c r="L57" s="74">
        <v>0.47899999999999998</v>
      </c>
      <c r="M57" s="74">
        <v>26.3</v>
      </c>
      <c r="N57" s="74">
        <v>18</v>
      </c>
      <c r="O57" s="74">
        <v>28</v>
      </c>
      <c r="P57" s="74">
        <v>2310</v>
      </c>
      <c r="Q57" s="74">
        <v>7070000</v>
      </c>
      <c r="R57" s="74">
        <v>94300</v>
      </c>
      <c r="S57" s="74">
        <v>115000</v>
      </c>
      <c r="T57" s="74">
        <v>55.3</v>
      </c>
      <c r="U57" s="74">
        <v>55.3</v>
      </c>
      <c r="V57">
        <v>3790000</v>
      </c>
      <c r="W57" s="74">
        <v>75700</v>
      </c>
      <c r="X57" s="74">
        <v>87300</v>
      </c>
      <c r="Y57" s="74">
        <v>87.3</v>
      </c>
      <c r="Z57" s="95">
        <v>40.4</v>
      </c>
      <c r="AA57" s="95">
        <v>8119999.9999999991</v>
      </c>
      <c r="AB57" s="74">
        <v>8.1199999999999992</v>
      </c>
      <c r="AC57" s="95" t="s">
        <v>563</v>
      </c>
      <c r="AD57" s="74">
        <v>1</v>
      </c>
      <c r="AE57" s="95" t="s">
        <v>494</v>
      </c>
      <c r="AF57" s="95">
        <v>115000</v>
      </c>
      <c r="AG57" s="74">
        <v>115</v>
      </c>
      <c r="AH57" s="95" t="s">
        <v>495</v>
      </c>
      <c r="AI57" s="95">
        <v>78500</v>
      </c>
      <c r="AJ57" s="74">
        <v>78.5</v>
      </c>
    </row>
    <row r="58" spans="1:40">
      <c r="A58" s="95" t="s">
        <v>659</v>
      </c>
      <c r="B58" s="74">
        <v>150</v>
      </c>
      <c r="C58" s="95">
        <v>450</v>
      </c>
      <c r="D58" s="95">
        <v>450</v>
      </c>
      <c r="E58" s="74">
        <v>100</v>
      </c>
      <c r="F58" s="95" t="s">
        <v>491</v>
      </c>
      <c r="G58" s="74">
        <v>4</v>
      </c>
      <c r="H58" s="74">
        <v>4</v>
      </c>
      <c r="I58" s="74">
        <v>0</v>
      </c>
      <c r="J58" s="95" t="s">
        <v>492</v>
      </c>
      <c r="K58" s="74">
        <v>14.8</v>
      </c>
      <c r="L58" s="74">
        <v>0.48299999999999998</v>
      </c>
      <c r="M58" s="74">
        <v>32.700000000000003</v>
      </c>
      <c r="N58" s="74">
        <v>23</v>
      </c>
      <c r="O58" s="74">
        <v>35.5</v>
      </c>
      <c r="P58" s="74">
        <v>1880</v>
      </c>
      <c r="Q58" s="74">
        <v>5870000</v>
      </c>
      <c r="R58" s="74">
        <v>78200</v>
      </c>
      <c r="S58" s="74">
        <v>94600</v>
      </c>
      <c r="T58" s="74">
        <v>55.9</v>
      </c>
      <c r="U58" s="74">
        <v>55.9</v>
      </c>
      <c r="V58">
        <v>3150000</v>
      </c>
      <c r="W58" s="74">
        <v>63000</v>
      </c>
      <c r="X58" s="74">
        <v>71800</v>
      </c>
      <c r="Y58" s="74">
        <v>71.8</v>
      </c>
      <c r="Z58" s="95">
        <v>40.9</v>
      </c>
      <c r="AA58" s="95">
        <v>6640000</v>
      </c>
      <c r="AB58" s="74">
        <v>6.64</v>
      </c>
      <c r="AC58" s="95" t="s">
        <v>564</v>
      </c>
      <c r="AD58" s="74">
        <v>0.90300000000000002</v>
      </c>
      <c r="AE58" s="95" t="s">
        <v>495</v>
      </c>
      <c r="AF58" s="95">
        <v>93200</v>
      </c>
      <c r="AG58" s="74">
        <v>93.2</v>
      </c>
      <c r="AH58" s="95" t="s">
        <v>496</v>
      </c>
      <c r="AI58" s="95">
        <v>55900</v>
      </c>
      <c r="AJ58" s="74">
        <v>55.9</v>
      </c>
    </row>
    <row r="59" spans="1:40">
      <c r="A59" s="95" t="s">
        <v>660</v>
      </c>
      <c r="B59" s="74">
        <v>150</v>
      </c>
      <c r="C59" s="95">
        <v>450</v>
      </c>
      <c r="D59" s="95">
        <v>450</v>
      </c>
      <c r="E59" s="74">
        <v>50</v>
      </c>
      <c r="F59" s="95" t="s">
        <v>491</v>
      </c>
      <c r="G59" s="74">
        <v>6</v>
      </c>
      <c r="H59" s="74">
        <v>6</v>
      </c>
      <c r="I59" s="74">
        <v>0</v>
      </c>
      <c r="J59" s="95" t="s">
        <v>492</v>
      </c>
      <c r="K59" s="74">
        <v>16.7</v>
      </c>
      <c r="L59" s="74">
        <v>0.374</v>
      </c>
      <c r="M59" s="74">
        <v>22.4</v>
      </c>
      <c r="N59" s="74">
        <v>6.33</v>
      </c>
      <c r="O59" s="74">
        <v>23</v>
      </c>
      <c r="P59" s="74">
        <v>2130</v>
      </c>
      <c r="Q59" s="74">
        <v>5060000</v>
      </c>
      <c r="R59" s="74">
        <v>67500</v>
      </c>
      <c r="S59" s="74">
        <v>91200</v>
      </c>
      <c r="T59" s="74">
        <v>48.7</v>
      </c>
      <c r="U59" s="74">
        <v>48.7</v>
      </c>
      <c r="V59">
        <v>860000</v>
      </c>
      <c r="W59" s="74">
        <v>34400</v>
      </c>
      <c r="X59" s="74">
        <v>40900</v>
      </c>
      <c r="Y59" s="74">
        <v>40.9</v>
      </c>
      <c r="Z59" s="95">
        <v>20.100000000000001</v>
      </c>
      <c r="AA59" s="95">
        <v>2630000</v>
      </c>
      <c r="AB59" s="74">
        <v>2.63</v>
      </c>
      <c r="AC59" s="95" t="s">
        <v>514</v>
      </c>
      <c r="AD59" s="74">
        <v>1</v>
      </c>
      <c r="AE59" s="95" t="s">
        <v>494</v>
      </c>
      <c r="AF59" s="95">
        <v>91200</v>
      </c>
      <c r="AG59" s="74">
        <v>91.2</v>
      </c>
      <c r="AH59" s="95" t="s">
        <v>495</v>
      </c>
      <c r="AI59" s="95">
        <v>40400</v>
      </c>
      <c r="AJ59" s="74">
        <v>40.4</v>
      </c>
    </row>
    <row r="60" spans="1:40">
      <c r="A60" s="95" t="s">
        <v>661</v>
      </c>
      <c r="B60" s="74">
        <v>150</v>
      </c>
      <c r="C60" s="95">
        <v>450</v>
      </c>
      <c r="D60" s="95">
        <v>450</v>
      </c>
      <c r="E60" s="74">
        <v>50</v>
      </c>
      <c r="F60" s="95" t="s">
        <v>491</v>
      </c>
      <c r="G60" s="74">
        <v>5</v>
      </c>
      <c r="H60" s="74">
        <v>5</v>
      </c>
      <c r="I60" s="74">
        <v>0</v>
      </c>
      <c r="J60" s="95" t="s">
        <v>492</v>
      </c>
      <c r="K60" s="74">
        <v>14.2</v>
      </c>
      <c r="L60" s="74">
        <v>0.379</v>
      </c>
      <c r="M60" s="74">
        <v>26.6</v>
      </c>
      <c r="N60" s="74">
        <v>8</v>
      </c>
      <c r="O60" s="74">
        <v>28</v>
      </c>
      <c r="P60" s="74">
        <v>1810</v>
      </c>
      <c r="Q60" s="74">
        <v>4440000</v>
      </c>
      <c r="R60" s="74">
        <v>59200</v>
      </c>
      <c r="S60" s="74">
        <v>78900</v>
      </c>
      <c r="T60" s="74">
        <v>49.5</v>
      </c>
      <c r="U60" s="74">
        <v>49.5</v>
      </c>
      <c r="V60">
        <v>765000</v>
      </c>
      <c r="W60" s="74">
        <v>30600</v>
      </c>
      <c r="X60" s="74">
        <v>35700</v>
      </c>
      <c r="Y60" s="74">
        <v>35.700000000000003</v>
      </c>
      <c r="Z60" s="95">
        <v>20.5</v>
      </c>
      <c r="AA60" s="95">
        <v>2300000</v>
      </c>
      <c r="AB60" s="74">
        <v>2.2999999999999998</v>
      </c>
      <c r="AC60" s="95" t="s">
        <v>565</v>
      </c>
      <c r="AD60" s="74">
        <v>1</v>
      </c>
      <c r="AE60" s="95" t="s">
        <v>494</v>
      </c>
      <c r="AF60" s="95">
        <v>78900</v>
      </c>
      <c r="AG60" s="74">
        <v>78.900000000000006</v>
      </c>
      <c r="AH60" s="95" t="s">
        <v>495</v>
      </c>
      <c r="AI60" s="95">
        <v>31800</v>
      </c>
      <c r="AJ60" s="74">
        <v>31.8</v>
      </c>
    </row>
    <row r="61" spans="1:40">
      <c r="A61" s="95" t="s">
        <v>703</v>
      </c>
      <c r="B61" s="74">
        <v>150</v>
      </c>
      <c r="C61" s="95">
        <v>450</v>
      </c>
      <c r="D61" s="95">
        <v>450</v>
      </c>
      <c r="E61" s="74">
        <v>50</v>
      </c>
      <c r="F61" s="95" t="s">
        <v>491</v>
      </c>
      <c r="G61" s="74">
        <v>4</v>
      </c>
      <c r="H61" s="74">
        <v>4</v>
      </c>
      <c r="I61" s="74">
        <v>0</v>
      </c>
      <c r="J61" s="95" t="s">
        <v>492</v>
      </c>
      <c r="K61" s="74">
        <v>11.6</v>
      </c>
      <c r="L61" s="95">
        <v>0.38300000000000001</v>
      </c>
      <c r="M61" s="74">
        <v>32.9</v>
      </c>
      <c r="N61" s="95">
        <v>10.5</v>
      </c>
      <c r="O61" s="74">
        <v>35.5</v>
      </c>
      <c r="P61" s="74">
        <v>1480</v>
      </c>
      <c r="Q61" s="74">
        <v>3740000</v>
      </c>
      <c r="R61" s="74">
        <v>49800</v>
      </c>
      <c r="S61" s="74">
        <v>65400.000000000007</v>
      </c>
      <c r="T61" s="74">
        <v>50.2</v>
      </c>
      <c r="U61" s="74">
        <v>50.2</v>
      </c>
      <c r="V61">
        <v>653000</v>
      </c>
      <c r="W61" s="74">
        <v>26100</v>
      </c>
      <c r="X61" s="74">
        <v>29800</v>
      </c>
      <c r="Y61" s="74">
        <v>29.8</v>
      </c>
      <c r="Z61" s="74">
        <v>21</v>
      </c>
      <c r="AA61" s="74">
        <v>1930000</v>
      </c>
      <c r="AB61" s="74">
        <v>1.93</v>
      </c>
      <c r="AC61" s="74">
        <v>48.2</v>
      </c>
      <c r="AD61" s="74">
        <v>0.877</v>
      </c>
      <c r="AE61" s="95" t="s">
        <v>494</v>
      </c>
      <c r="AF61" s="95">
        <v>65400.000000000007</v>
      </c>
      <c r="AG61" s="74">
        <v>65.400000000000006</v>
      </c>
      <c r="AH61" s="95" t="s">
        <v>496</v>
      </c>
      <c r="AI61" s="95">
        <v>22700</v>
      </c>
      <c r="AJ61" s="74">
        <v>22.7</v>
      </c>
    </row>
    <row r="62" spans="1:40">
      <c r="A62" s="95" t="s">
        <v>662</v>
      </c>
      <c r="B62" s="74">
        <v>150</v>
      </c>
      <c r="C62" s="95">
        <v>450</v>
      </c>
      <c r="D62" s="95">
        <v>450</v>
      </c>
      <c r="E62" s="74">
        <v>50</v>
      </c>
      <c r="F62" s="95" t="s">
        <v>491</v>
      </c>
      <c r="G62" s="74">
        <v>3</v>
      </c>
      <c r="H62" s="74">
        <v>3</v>
      </c>
      <c r="I62" s="74">
        <v>0</v>
      </c>
      <c r="J62" s="95" t="s">
        <v>492</v>
      </c>
      <c r="K62" s="74">
        <v>8.9600000000000009</v>
      </c>
      <c r="L62" s="74">
        <v>0.39</v>
      </c>
      <c r="M62" s="74">
        <v>43.5</v>
      </c>
      <c r="N62" s="74">
        <v>14.7</v>
      </c>
      <c r="O62" s="74">
        <v>48</v>
      </c>
      <c r="P62" s="74">
        <v>1140</v>
      </c>
      <c r="Q62" s="74">
        <v>2990000</v>
      </c>
      <c r="R62" s="74">
        <v>39800</v>
      </c>
      <c r="S62" s="74">
        <v>51400</v>
      </c>
      <c r="T62" s="74">
        <v>51.2</v>
      </c>
      <c r="U62" s="74">
        <v>51.2</v>
      </c>
      <c r="V62">
        <v>526000</v>
      </c>
      <c r="W62" s="74">
        <v>21100</v>
      </c>
      <c r="X62" s="74">
        <v>23500</v>
      </c>
      <c r="Y62" s="74">
        <v>23.5</v>
      </c>
      <c r="Z62" s="95">
        <v>21.5</v>
      </c>
      <c r="AA62" s="95">
        <v>1500000</v>
      </c>
      <c r="AB62" s="74">
        <v>1.5</v>
      </c>
      <c r="AC62" s="95" t="s">
        <v>566</v>
      </c>
      <c r="AD62" s="74">
        <v>0.71299999999999997</v>
      </c>
      <c r="AE62" s="95" t="s">
        <v>494</v>
      </c>
      <c r="AF62" s="95">
        <v>51400</v>
      </c>
      <c r="AG62" s="74">
        <v>51.4</v>
      </c>
      <c r="AH62" s="95" t="s">
        <v>496</v>
      </c>
      <c r="AI62" s="95">
        <v>14500</v>
      </c>
      <c r="AJ62" s="74">
        <v>14.5</v>
      </c>
    </row>
    <row r="63" spans="1:40">
      <c r="A63" s="95" t="s">
        <v>663</v>
      </c>
      <c r="B63" s="74">
        <v>150</v>
      </c>
      <c r="C63" s="95">
        <v>450</v>
      </c>
      <c r="D63" s="95">
        <v>450</v>
      </c>
      <c r="E63" s="74">
        <v>50</v>
      </c>
      <c r="F63" s="95" t="s">
        <v>491</v>
      </c>
      <c r="G63" s="74">
        <v>2.5</v>
      </c>
      <c r="H63" s="74">
        <v>2.5</v>
      </c>
      <c r="I63" s="74">
        <v>0</v>
      </c>
      <c r="J63" s="95" t="s">
        <v>492</v>
      </c>
      <c r="K63" s="74">
        <v>7.53</v>
      </c>
      <c r="L63" s="74">
        <v>0.39100000000000001</v>
      </c>
      <c r="M63" s="74">
        <v>52</v>
      </c>
      <c r="N63" s="74">
        <v>18</v>
      </c>
      <c r="O63" s="74">
        <v>58</v>
      </c>
      <c r="P63" s="74">
        <v>959</v>
      </c>
      <c r="Q63" s="74">
        <v>2540000</v>
      </c>
      <c r="R63" s="74">
        <v>33900</v>
      </c>
      <c r="S63" s="74">
        <v>43500</v>
      </c>
      <c r="T63" s="74">
        <v>51.5</v>
      </c>
      <c r="U63" s="74">
        <v>51.5</v>
      </c>
      <c r="V63">
        <v>452000</v>
      </c>
      <c r="W63" s="74">
        <v>18100</v>
      </c>
      <c r="X63" s="74">
        <v>19900</v>
      </c>
      <c r="Y63" s="74">
        <v>19.899999999999999</v>
      </c>
      <c r="Z63" s="95">
        <v>21.7</v>
      </c>
      <c r="AA63" s="95">
        <v>1280000</v>
      </c>
      <c r="AB63" s="74">
        <v>1.28</v>
      </c>
      <c r="AC63" s="95" t="s">
        <v>567</v>
      </c>
      <c r="AD63" s="74">
        <v>0.63300000000000001</v>
      </c>
      <c r="AE63" s="95" t="s">
        <v>494</v>
      </c>
      <c r="AF63" s="95">
        <v>43500</v>
      </c>
      <c r="AG63" s="74">
        <v>43.5</v>
      </c>
      <c r="AH63" s="95" t="s">
        <v>496</v>
      </c>
      <c r="AI63" s="95">
        <v>10900</v>
      </c>
      <c r="AJ63" s="74">
        <v>10.9</v>
      </c>
      <c r="AK63" s="95"/>
      <c r="AL63" s="74"/>
      <c r="AM63" s="95"/>
      <c r="AN63" s="74"/>
    </row>
    <row r="64" spans="1:40">
      <c r="A64" s="95" t="s">
        <v>664</v>
      </c>
      <c r="B64" s="74">
        <v>150</v>
      </c>
      <c r="C64" s="95">
        <v>450</v>
      </c>
      <c r="D64" s="95">
        <v>450</v>
      </c>
      <c r="E64" s="74">
        <v>50</v>
      </c>
      <c r="F64" s="95" t="s">
        <v>491</v>
      </c>
      <c r="G64" s="74">
        <v>2</v>
      </c>
      <c r="H64" s="74">
        <v>2</v>
      </c>
      <c r="I64" s="74">
        <v>0</v>
      </c>
      <c r="J64" s="95" t="s">
        <v>492</v>
      </c>
      <c r="K64" s="74">
        <v>6.07</v>
      </c>
      <c r="L64" s="74">
        <v>0.39300000000000002</v>
      </c>
      <c r="M64" s="74">
        <v>64.7</v>
      </c>
      <c r="N64" s="74">
        <v>23</v>
      </c>
      <c r="O64" s="74">
        <v>73</v>
      </c>
      <c r="P64" s="74">
        <v>774</v>
      </c>
      <c r="Q64" s="74">
        <v>2080000</v>
      </c>
      <c r="R64" s="74">
        <v>27700</v>
      </c>
      <c r="S64" s="74">
        <v>35300</v>
      </c>
      <c r="T64" s="74">
        <v>51.8</v>
      </c>
      <c r="U64" s="74">
        <v>51.8</v>
      </c>
      <c r="V64">
        <v>372000</v>
      </c>
      <c r="W64" s="74">
        <v>14900</v>
      </c>
      <c r="X64" s="74">
        <v>16300</v>
      </c>
      <c r="Y64" s="74">
        <v>16.3</v>
      </c>
      <c r="Z64" s="95">
        <v>21.9</v>
      </c>
      <c r="AA64" s="95">
        <v>1040000</v>
      </c>
      <c r="AB64" s="74">
        <v>1.04</v>
      </c>
      <c r="AC64" s="95" t="s">
        <v>568</v>
      </c>
      <c r="AD64" s="74">
        <v>0.55300000000000005</v>
      </c>
      <c r="AE64" s="95" t="s">
        <v>495</v>
      </c>
      <c r="AF64" s="95">
        <v>31600</v>
      </c>
      <c r="AG64" s="74">
        <v>31.6</v>
      </c>
      <c r="AH64" s="95" t="s">
        <v>496</v>
      </c>
      <c r="AI64" s="95">
        <v>7640</v>
      </c>
      <c r="AJ64" s="74">
        <v>7.64</v>
      </c>
    </row>
    <row r="65" spans="1:36">
      <c r="A65" s="95" t="s">
        <v>652</v>
      </c>
      <c r="B65" s="74">
        <v>152</v>
      </c>
      <c r="C65" s="95">
        <v>450</v>
      </c>
      <c r="D65" s="95">
        <v>450</v>
      </c>
      <c r="E65" s="74">
        <v>76</v>
      </c>
      <c r="F65" s="95" t="s">
        <v>491</v>
      </c>
      <c r="G65" s="74">
        <v>6</v>
      </c>
      <c r="H65" s="74">
        <v>6</v>
      </c>
      <c r="I65" s="74">
        <v>0</v>
      </c>
      <c r="J65" s="95" t="s">
        <v>492</v>
      </c>
      <c r="K65" s="74">
        <v>19.399999999999999</v>
      </c>
      <c r="L65" s="74">
        <v>0.43</v>
      </c>
      <c r="M65" s="74">
        <v>22.2</v>
      </c>
      <c r="N65" s="74">
        <v>10.7</v>
      </c>
      <c r="O65" s="74">
        <v>23.3</v>
      </c>
      <c r="P65" s="74">
        <v>2470</v>
      </c>
      <c r="Q65" s="74">
        <v>6910000</v>
      </c>
      <c r="R65" s="74">
        <v>90900</v>
      </c>
      <c r="S65" s="74">
        <v>116000</v>
      </c>
      <c r="T65" s="74">
        <v>52.9</v>
      </c>
      <c r="U65" s="74">
        <v>52.9</v>
      </c>
      <c r="V65">
        <v>2330000</v>
      </c>
      <c r="W65" s="74">
        <v>61400</v>
      </c>
      <c r="X65" s="74">
        <v>71500</v>
      </c>
      <c r="Y65" s="74">
        <v>71.5</v>
      </c>
      <c r="Z65" s="95">
        <v>30.7</v>
      </c>
      <c r="AA65" s="95">
        <v>5980000</v>
      </c>
      <c r="AB65" s="74">
        <v>5.98</v>
      </c>
      <c r="AC65" s="95" t="s">
        <v>512</v>
      </c>
      <c r="AD65" s="74">
        <v>1</v>
      </c>
      <c r="AE65" s="95" t="s">
        <v>494</v>
      </c>
      <c r="AF65" s="95">
        <v>116000</v>
      </c>
      <c r="AG65" s="74">
        <v>116</v>
      </c>
      <c r="AH65" s="95" t="s">
        <v>495</v>
      </c>
      <c r="AI65" s="95">
        <v>70200</v>
      </c>
      <c r="AJ65" s="74">
        <v>70.2</v>
      </c>
    </row>
    <row r="66" spans="1:36">
      <c r="A66" s="95" t="s">
        <v>653</v>
      </c>
      <c r="B66" s="74">
        <v>152</v>
      </c>
      <c r="C66" s="95">
        <v>450</v>
      </c>
      <c r="D66" s="95">
        <v>450</v>
      </c>
      <c r="E66" s="74">
        <v>76</v>
      </c>
      <c r="F66" s="95" t="s">
        <v>491</v>
      </c>
      <c r="G66" s="74">
        <v>5</v>
      </c>
      <c r="H66" s="74">
        <v>5</v>
      </c>
      <c r="I66" s="74">
        <v>0</v>
      </c>
      <c r="J66" s="95" t="s">
        <v>492</v>
      </c>
      <c r="K66" s="74">
        <v>16.399999999999999</v>
      </c>
      <c r="L66" s="74">
        <v>0.435</v>
      </c>
      <c r="M66" s="74">
        <v>26.4</v>
      </c>
      <c r="N66" s="74">
        <v>13.2</v>
      </c>
      <c r="O66" s="74">
        <v>28.4</v>
      </c>
      <c r="P66" s="74">
        <v>2090</v>
      </c>
      <c r="Q66" s="74">
        <v>6010000</v>
      </c>
      <c r="R66" s="74">
        <v>79000</v>
      </c>
      <c r="S66" s="74">
        <v>99800</v>
      </c>
      <c r="T66" s="74">
        <v>53.6</v>
      </c>
      <c r="U66" s="74">
        <v>53.6</v>
      </c>
      <c r="V66">
        <v>2040000</v>
      </c>
      <c r="W66" s="74">
        <v>53700</v>
      </c>
      <c r="X66" s="74">
        <v>61600</v>
      </c>
      <c r="Y66" s="74">
        <v>61.6</v>
      </c>
      <c r="Z66" s="95">
        <v>31.2</v>
      </c>
      <c r="AA66" s="95">
        <v>5130000</v>
      </c>
      <c r="AB66" s="74">
        <v>5.13</v>
      </c>
      <c r="AC66" s="95" t="s">
        <v>559</v>
      </c>
      <c r="AD66" s="74">
        <v>1</v>
      </c>
      <c r="AE66" s="95" t="s">
        <v>494</v>
      </c>
      <c r="AF66" s="95">
        <v>99800</v>
      </c>
      <c r="AG66" s="74">
        <v>99.8</v>
      </c>
      <c r="AH66" s="95" t="s">
        <v>495</v>
      </c>
      <c r="AI66" s="95">
        <v>55200</v>
      </c>
      <c r="AJ66" s="74">
        <v>55.2</v>
      </c>
    </row>
    <row r="67" spans="1:36">
      <c r="A67" s="95" t="s">
        <v>646</v>
      </c>
      <c r="B67" s="74">
        <v>200</v>
      </c>
      <c r="C67" s="95">
        <v>450</v>
      </c>
      <c r="D67" s="95">
        <v>450</v>
      </c>
      <c r="E67" s="74">
        <v>100</v>
      </c>
      <c r="F67" s="95" t="s">
        <v>491</v>
      </c>
      <c r="G67" s="74">
        <v>10</v>
      </c>
      <c r="H67" s="74">
        <v>10</v>
      </c>
      <c r="I67" s="74">
        <v>0</v>
      </c>
      <c r="J67" s="95" t="s">
        <v>492</v>
      </c>
      <c r="K67" s="74">
        <v>41.3</v>
      </c>
      <c r="L67" s="74">
        <v>0.55700000000000005</v>
      </c>
      <c r="M67" s="74">
        <v>13.5</v>
      </c>
      <c r="N67" s="74">
        <v>8</v>
      </c>
      <c r="O67" s="74">
        <v>18</v>
      </c>
      <c r="P67" s="74">
        <v>5260</v>
      </c>
      <c r="Q67" s="74">
        <v>24400000</v>
      </c>
      <c r="R67" s="74">
        <v>244000</v>
      </c>
      <c r="S67" s="74">
        <v>318000</v>
      </c>
      <c r="T67" s="74">
        <v>68.2</v>
      </c>
      <c r="U67" s="74">
        <v>68.2</v>
      </c>
      <c r="V67">
        <v>8180000</v>
      </c>
      <c r="W67" s="74">
        <v>164000</v>
      </c>
      <c r="X67" s="74">
        <v>195000</v>
      </c>
      <c r="Y67" s="74">
        <v>195</v>
      </c>
      <c r="Z67" s="95">
        <v>39.4</v>
      </c>
      <c r="AA67" s="95">
        <v>21500000</v>
      </c>
      <c r="AB67" s="74">
        <v>21.5</v>
      </c>
      <c r="AC67" s="95" t="s">
        <v>511</v>
      </c>
      <c r="AD67" s="74">
        <v>1</v>
      </c>
      <c r="AE67" s="95" t="s">
        <v>494</v>
      </c>
      <c r="AF67" s="95">
        <v>318000</v>
      </c>
      <c r="AG67" s="74">
        <v>318</v>
      </c>
      <c r="AH67" s="95" t="s">
        <v>494</v>
      </c>
      <c r="AI67" s="95">
        <v>195000</v>
      </c>
      <c r="AJ67" s="74">
        <v>195</v>
      </c>
    </row>
    <row r="68" spans="1:36">
      <c r="A68" s="95" t="s">
        <v>647</v>
      </c>
      <c r="B68" s="74">
        <v>200</v>
      </c>
      <c r="C68" s="95">
        <v>450</v>
      </c>
      <c r="D68" s="95">
        <v>450</v>
      </c>
      <c r="E68" s="74">
        <v>100</v>
      </c>
      <c r="F68" s="95" t="s">
        <v>491</v>
      </c>
      <c r="G68" s="74">
        <v>9</v>
      </c>
      <c r="H68" s="74">
        <v>9</v>
      </c>
      <c r="I68" s="74">
        <v>0</v>
      </c>
      <c r="J68" s="95" t="s">
        <v>492</v>
      </c>
      <c r="K68" s="74">
        <v>37.700000000000003</v>
      </c>
      <c r="L68" s="74">
        <v>0.56100000000000005</v>
      </c>
      <c r="M68" s="74">
        <v>14.9</v>
      </c>
      <c r="N68" s="74">
        <v>9.11</v>
      </c>
      <c r="O68" s="74">
        <v>20.2</v>
      </c>
      <c r="P68" s="74">
        <v>4800</v>
      </c>
      <c r="Q68" s="74">
        <v>22800000</v>
      </c>
      <c r="R68" s="74">
        <v>228000</v>
      </c>
      <c r="S68" s="74">
        <v>293000</v>
      </c>
      <c r="T68" s="74">
        <v>68.900000000000006</v>
      </c>
      <c r="U68" s="74">
        <v>68.900000000000006</v>
      </c>
      <c r="V68">
        <v>7640000</v>
      </c>
      <c r="W68" s="74">
        <v>153000</v>
      </c>
      <c r="X68" s="74">
        <v>180000</v>
      </c>
      <c r="Y68" s="74">
        <v>180</v>
      </c>
      <c r="Z68" s="95">
        <v>39.9</v>
      </c>
      <c r="AA68" s="95">
        <v>19900000</v>
      </c>
      <c r="AB68" s="74">
        <v>19.899999999999999</v>
      </c>
      <c r="AC68" s="95" t="s">
        <v>555</v>
      </c>
      <c r="AD68" s="74">
        <v>1</v>
      </c>
      <c r="AE68" s="95" t="s">
        <v>494</v>
      </c>
      <c r="AF68" s="95">
        <v>293000</v>
      </c>
      <c r="AG68" s="74">
        <v>293</v>
      </c>
      <c r="AH68" s="95" t="s">
        <v>494</v>
      </c>
      <c r="AI68" s="95">
        <v>180000</v>
      </c>
      <c r="AJ68" s="74">
        <v>180</v>
      </c>
    </row>
    <row r="69" spans="1:36">
      <c r="A69" s="95" t="s">
        <v>648</v>
      </c>
      <c r="B69" s="74">
        <v>200</v>
      </c>
      <c r="C69" s="95">
        <v>450</v>
      </c>
      <c r="D69" s="95">
        <v>450</v>
      </c>
      <c r="E69" s="74">
        <v>100</v>
      </c>
      <c r="F69" s="95" t="s">
        <v>491</v>
      </c>
      <c r="G69" s="74">
        <v>8</v>
      </c>
      <c r="H69" s="74">
        <v>8</v>
      </c>
      <c r="I69" s="74">
        <v>0</v>
      </c>
      <c r="J69" s="95" t="s">
        <v>492</v>
      </c>
      <c r="K69" s="74">
        <v>33.9</v>
      </c>
      <c r="L69" s="74">
        <v>0.56599999999999995</v>
      </c>
      <c r="M69" s="74">
        <v>16.7</v>
      </c>
      <c r="N69" s="74">
        <v>10.5</v>
      </c>
      <c r="O69" s="74">
        <v>23</v>
      </c>
      <c r="P69" s="74">
        <v>4320</v>
      </c>
      <c r="Q69" s="74">
        <v>20900000</v>
      </c>
      <c r="R69" s="74">
        <v>209000</v>
      </c>
      <c r="S69" s="74">
        <v>267000</v>
      </c>
      <c r="T69" s="74">
        <v>69.5</v>
      </c>
      <c r="U69" s="74">
        <v>69.5</v>
      </c>
      <c r="V69">
        <v>7050000</v>
      </c>
      <c r="W69" s="74">
        <v>141000</v>
      </c>
      <c r="X69" s="74">
        <v>165000</v>
      </c>
      <c r="Y69" s="74">
        <v>165</v>
      </c>
      <c r="Z69" s="95">
        <v>40.4</v>
      </c>
      <c r="AA69" s="95">
        <v>18100000</v>
      </c>
      <c r="AB69" s="74">
        <v>18.100000000000001</v>
      </c>
      <c r="AC69" s="95" t="s">
        <v>506</v>
      </c>
      <c r="AD69" s="74">
        <v>1</v>
      </c>
      <c r="AE69" s="95" t="s">
        <v>494</v>
      </c>
      <c r="AF69" s="95">
        <v>267000</v>
      </c>
      <c r="AG69" s="74">
        <v>267</v>
      </c>
      <c r="AH69" s="95" t="s">
        <v>495</v>
      </c>
      <c r="AI69" s="95">
        <v>163000</v>
      </c>
      <c r="AJ69" s="74">
        <v>163</v>
      </c>
    </row>
    <row r="70" spans="1:36">
      <c r="A70" s="95" t="s">
        <v>649</v>
      </c>
      <c r="B70" s="74">
        <v>200</v>
      </c>
      <c r="C70" s="95">
        <v>450</v>
      </c>
      <c r="D70" s="95">
        <v>450</v>
      </c>
      <c r="E70" s="74">
        <v>100</v>
      </c>
      <c r="F70" s="95" t="s">
        <v>491</v>
      </c>
      <c r="G70" s="74">
        <v>6</v>
      </c>
      <c r="H70" s="74">
        <v>6</v>
      </c>
      <c r="I70" s="74">
        <v>0</v>
      </c>
      <c r="J70" s="95" t="s">
        <v>492</v>
      </c>
      <c r="K70" s="74">
        <v>26.2</v>
      </c>
      <c r="L70" s="74">
        <v>0.57399999999999995</v>
      </c>
      <c r="M70" s="74">
        <v>22</v>
      </c>
      <c r="N70" s="74">
        <v>14.7</v>
      </c>
      <c r="O70" s="74">
        <v>31.3</v>
      </c>
      <c r="P70" s="74">
        <v>3330</v>
      </c>
      <c r="Q70" s="74">
        <v>16700000</v>
      </c>
      <c r="R70" s="74">
        <v>167000</v>
      </c>
      <c r="S70" s="74">
        <v>210000</v>
      </c>
      <c r="T70" s="74">
        <v>70.8</v>
      </c>
      <c r="U70" s="74">
        <v>70.8</v>
      </c>
      <c r="V70">
        <v>5690000</v>
      </c>
      <c r="W70" s="74">
        <v>114000</v>
      </c>
      <c r="X70" s="74">
        <v>130000</v>
      </c>
      <c r="Y70" s="74">
        <v>130</v>
      </c>
      <c r="Z70" s="95">
        <v>41.3</v>
      </c>
      <c r="AA70" s="95">
        <v>14200000</v>
      </c>
      <c r="AB70" s="74">
        <v>14.2</v>
      </c>
      <c r="AC70" s="95" t="s">
        <v>503</v>
      </c>
      <c r="AD70" s="74">
        <v>0.96699999999999997</v>
      </c>
      <c r="AE70" s="95" t="s">
        <v>494</v>
      </c>
      <c r="AF70" s="95">
        <v>210000</v>
      </c>
      <c r="AG70" s="74">
        <v>210</v>
      </c>
      <c r="AH70" s="95" t="s">
        <v>496</v>
      </c>
      <c r="AI70" s="95">
        <v>110000</v>
      </c>
      <c r="AJ70" s="74">
        <v>110</v>
      </c>
    </row>
    <row r="71" spans="1:36">
      <c r="A71" s="95" t="s">
        <v>650</v>
      </c>
      <c r="B71" s="74">
        <v>200</v>
      </c>
      <c r="C71" s="95">
        <v>450</v>
      </c>
      <c r="D71" s="95">
        <v>450</v>
      </c>
      <c r="E71" s="74">
        <v>100</v>
      </c>
      <c r="F71" s="95" t="s">
        <v>491</v>
      </c>
      <c r="G71" s="74">
        <v>5</v>
      </c>
      <c r="H71" s="74">
        <v>5</v>
      </c>
      <c r="I71" s="74">
        <v>0</v>
      </c>
      <c r="J71" s="95" t="s">
        <v>492</v>
      </c>
      <c r="K71" s="74">
        <v>22.1</v>
      </c>
      <c r="L71" s="74">
        <v>0.57899999999999996</v>
      </c>
      <c r="M71" s="74">
        <v>26.2</v>
      </c>
      <c r="N71" s="74">
        <v>18</v>
      </c>
      <c r="O71" s="74">
        <v>38</v>
      </c>
      <c r="P71" s="74">
        <v>2810</v>
      </c>
      <c r="Q71" s="74">
        <v>14400000</v>
      </c>
      <c r="R71" s="74">
        <v>144000</v>
      </c>
      <c r="S71" s="74">
        <v>179000</v>
      </c>
      <c r="T71" s="74">
        <v>71.5</v>
      </c>
      <c r="U71" s="74">
        <v>71.5</v>
      </c>
      <c r="V71">
        <v>4920000</v>
      </c>
      <c r="W71" s="74">
        <v>98300</v>
      </c>
      <c r="X71" s="74">
        <v>111000</v>
      </c>
      <c r="Y71" s="74">
        <v>111</v>
      </c>
      <c r="Z71" s="95">
        <v>41.8</v>
      </c>
      <c r="AA71" s="95">
        <v>12100000</v>
      </c>
      <c r="AB71" s="74">
        <v>12.1</v>
      </c>
      <c r="AC71" s="95" t="s">
        <v>556</v>
      </c>
      <c r="AD71" s="74">
        <v>0.85499999999999998</v>
      </c>
      <c r="AE71" s="95" t="s">
        <v>494</v>
      </c>
      <c r="AF71" s="95">
        <v>179000</v>
      </c>
      <c r="AG71" s="74">
        <v>179</v>
      </c>
      <c r="AH71" s="95" t="s">
        <v>496</v>
      </c>
      <c r="AI71" s="95">
        <v>82200</v>
      </c>
      <c r="AJ71" s="74">
        <v>82.2</v>
      </c>
    </row>
    <row r="72" spans="1:36">
      <c r="A72" s="95" t="s">
        <v>651</v>
      </c>
      <c r="B72" s="74">
        <v>200</v>
      </c>
      <c r="C72" s="95">
        <v>450</v>
      </c>
      <c r="D72" s="95">
        <v>450</v>
      </c>
      <c r="E72" s="74">
        <v>100</v>
      </c>
      <c r="F72" s="95" t="s">
        <v>491</v>
      </c>
      <c r="G72" s="74">
        <v>4</v>
      </c>
      <c r="H72" s="74">
        <v>4</v>
      </c>
      <c r="I72" s="74">
        <v>0</v>
      </c>
      <c r="J72" s="95" t="s">
        <v>492</v>
      </c>
      <c r="K72" s="74">
        <v>17.899999999999999</v>
      </c>
      <c r="L72" s="74">
        <v>0.58299999999999996</v>
      </c>
      <c r="M72" s="74">
        <v>32.5</v>
      </c>
      <c r="N72" s="74">
        <v>23</v>
      </c>
      <c r="O72" s="74">
        <v>48</v>
      </c>
      <c r="P72" s="74">
        <v>2280</v>
      </c>
      <c r="Q72" s="74">
        <v>11900000</v>
      </c>
      <c r="R72" s="74">
        <v>119000</v>
      </c>
      <c r="S72" s="74">
        <v>147000</v>
      </c>
      <c r="T72" s="74">
        <v>72.099999999999994</v>
      </c>
      <c r="U72" s="74">
        <v>72.099999999999994</v>
      </c>
      <c r="V72">
        <v>4070000.0000000005</v>
      </c>
      <c r="W72" s="74">
        <v>81500</v>
      </c>
      <c r="X72" s="74">
        <v>91000</v>
      </c>
      <c r="Y72" s="74">
        <v>91</v>
      </c>
      <c r="Z72" s="95">
        <v>42.3</v>
      </c>
      <c r="AA72" s="95">
        <v>9890000</v>
      </c>
      <c r="AB72" s="74">
        <v>9.89</v>
      </c>
      <c r="AC72" s="95" t="s">
        <v>557</v>
      </c>
      <c r="AD72" s="74">
        <v>0.745</v>
      </c>
      <c r="AE72" s="95" t="s">
        <v>495</v>
      </c>
      <c r="AF72" s="95">
        <v>144000</v>
      </c>
      <c r="AG72" s="74">
        <v>144</v>
      </c>
      <c r="AH72" s="95" t="s">
        <v>496</v>
      </c>
      <c r="AI72" s="95">
        <v>58000</v>
      </c>
      <c r="AJ72" s="74">
        <v>58</v>
      </c>
    </row>
    <row r="73" spans="1:36">
      <c r="A73" s="95" t="s">
        <v>639</v>
      </c>
      <c r="B73" s="74">
        <v>250</v>
      </c>
      <c r="C73" s="95">
        <v>450</v>
      </c>
      <c r="D73" s="95">
        <v>450</v>
      </c>
      <c r="E73" s="74">
        <v>150</v>
      </c>
      <c r="F73" s="95" t="s">
        <v>491</v>
      </c>
      <c r="G73" s="74">
        <v>16</v>
      </c>
      <c r="H73" s="74">
        <v>16</v>
      </c>
      <c r="I73" s="74">
        <v>0</v>
      </c>
      <c r="J73" s="95" t="s">
        <v>492</v>
      </c>
      <c r="K73" s="74">
        <v>85.5</v>
      </c>
      <c r="L73" s="74">
        <v>0.73099999999999998</v>
      </c>
      <c r="M73" s="74">
        <v>8.5500000000000007</v>
      </c>
      <c r="N73" s="74">
        <v>7.38</v>
      </c>
      <c r="O73" s="74">
        <v>13.6</v>
      </c>
      <c r="P73" s="74">
        <v>10900</v>
      </c>
      <c r="Q73" s="74">
        <v>80200000</v>
      </c>
      <c r="R73" s="74">
        <v>641000</v>
      </c>
      <c r="S73" s="74">
        <v>834000</v>
      </c>
      <c r="T73" s="74">
        <v>85.8</v>
      </c>
      <c r="U73" s="74">
        <v>85.8</v>
      </c>
      <c r="V73">
        <v>35800000</v>
      </c>
      <c r="W73" s="74">
        <v>478000</v>
      </c>
      <c r="X73" s="74">
        <v>583000</v>
      </c>
      <c r="Y73" s="74">
        <v>583</v>
      </c>
      <c r="Z73" s="95">
        <v>57.3</v>
      </c>
      <c r="AA73" s="95">
        <v>88200000</v>
      </c>
      <c r="AB73" s="74">
        <v>88.2</v>
      </c>
      <c r="AC73" s="95" t="s">
        <v>508</v>
      </c>
      <c r="AD73" s="74">
        <v>1</v>
      </c>
      <c r="AE73" s="95" t="s">
        <v>494</v>
      </c>
      <c r="AF73" s="95">
        <v>834000</v>
      </c>
      <c r="AG73" s="74">
        <v>834</v>
      </c>
      <c r="AH73" s="95" t="s">
        <v>494</v>
      </c>
      <c r="AI73" s="95">
        <v>583000</v>
      </c>
      <c r="AJ73" s="74">
        <v>583</v>
      </c>
    </row>
    <row r="74" spans="1:36">
      <c r="A74" s="95" t="s">
        <v>640</v>
      </c>
      <c r="B74" s="74">
        <v>250</v>
      </c>
      <c r="C74" s="95">
        <v>450</v>
      </c>
      <c r="D74" s="95">
        <v>450</v>
      </c>
      <c r="E74" s="74">
        <v>150</v>
      </c>
      <c r="F74" s="95" t="s">
        <v>491</v>
      </c>
      <c r="G74" s="74">
        <v>12.5</v>
      </c>
      <c r="H74" s="74">
        <v>12.5</v>
      </c>
      <c r="I74" s="74">
        <v>0</v>
      </c>
      <c r="J74" s="95" t="s">
        <v>492</v>
      </c>
      <c r="K74" s="74">
        <v>69.400000000000006</v>
      </c>
      <c r="L74" s="74">
        <v>0.746</v>
      </c>
      <c r="M74" s="74">
        <v>10.8</v>
      </c>
      <c r="N74" s="74">
        <v>10</v>
      </c>
      <c r="O74" s="74">
        <v>18</v>
      </c>
      <c r="P74" s="74">
        <v>8840</v>
      </c>
      <c r="Q74" s="74">
        <v>68500000</v>
      </c>
      <c r="R74" s="74">
        <v>548000</v>
      </c>
      <c r="S74" s="74">
        <v>695000</v>
      </c>
      <c r="T74" s="74">
        <v>88</v>
      </c>
      <c r="U74" s="74">
        <v>88</v>
      </c>
      <c r="V74">
        <v>30800000</v>
      </c>
      <c r="W74" s="74">
        <v>411000</v>
      </c>
      <c r="X74" s="74">
        <v>488000</v>
      </c>
      <c r="Y74" s="74">
        <v>488</v>
      </c>
      <c r="Z74" s="95">
        <v>59</v>
      </c>
      <c r="AA74" s="95">
        <v>73400000</v>
      </c>
      <c r="AB74" s="74">
        <v>73.400000000000006</v>
      </c>
      <c r="AC74" s="95" t="s">
        <v>548</v>
      </c>
      <c r="AD74" s="74">
        <v>1</v>
      </c>
      <c r="AE74" s="95" t="s">
        <v>494</v>
      </c>
      <c r="AF74" s="95">
        <v>695000</v>
      </c>
      <c r="AG74" s="74">
        <v>695</v>
      </c>
      <c r="AH74" s="95" t="s">
        <v>494</v>
      </c>
      <c r="AI74" s="95">
        <v>488000</v>
      </c>
      <c r="AJ74" s="74">
        <v>488</v>
      </c>
    </row>
    <row r="75" spans="1:36">
      <c r="A75" s="95" t="s">
        <v>641</v>
      </c>
      <c r="B75" s="74">
        <v>250</v>
      </c>
      <c r="C75" s="95">
        <v>450</v>
      </c>
      <c r="D75" s="95">
        <v>450</v>
      </c>
      <c r="E75" s="74">
        <v>150</v>
      </c>
      <c r="F75" s="95" t="s">
        <v>491</v>
      </c>
      <c r="G75" s="74">
        <v>10</v>
      </c>
      <c r="H75" s="74">
        <v>10</v>
      </c>
      <c r="I75" s="74">
        <v>0</v>
      </c>
      <c r="J75" s="95" t="s">
        <v>492</v>
      </c>
      <c r="K75" s="74">
        <v>57</v>
      </c>
      <c r="L75" s="74">
        <v>0.75700000000000001</v>
      </c>
      <c r="M75" s="74">
        <v>13.3</v>
      </c>
      <c r="N75" s="74">
        <v>13</v>
      </c>
      <c r="O75" s="74">
        <v>23</v>
      </c>
      <c r="P75" s="74">
        <v>7260</v>
      </c>
      <c r="Q75" s="74">
        <v>58300000</v>
      </c>
      <c r="R75" s="74">
        <v>466000</v>
      </c>
      <c r="S75" s="74">
        <v>582000</v>
      </c>
      <c r="T75" s="74">
        <v>89.6</v>
      </c>
      <c r="U75" s="74">
        <v>89.6</v>
      </c>
      <c r="V75">
        <v>26300000</v>
      </c>
      <c r="W75" s="74">
        <v>351000</v>
      </c>
      <c r="X75" s="74">
        <v>409000</v>
      </c>
      <c r="Y75" s="74">
        <v>409</v>
      </c>
      <c r="Z75" s="95">
        <v>60.2</v>
      </c>
      <c r="AA75" s="95">
        <v>61200000</v>
      </c>
      <c r="AB75" s="74">
        <v>61.2</v>
      </c>
      <c r="AC75" s="95" t="s">
        <v>549</v>
      </c>
      <c r="AD75" s="74">
        <v>1</v>
      </c>
      <c r="AE75" s="95" t="s">
        <v>494</v>
      </c>
      <c r="AF75" s="95">
        <v>582000</v>
      </c>
      <c r="AG75" s="74">
        <v>582</v>
      </c>
      <c r="AH75" s="95" t="s">
        <v>495</v>
      </c>
      <c r="AI75" s="95">
        <v>404000</v>
      </c>
      <c r="AJ75" s="74">
        <v>404</v>
      </c>
    </row>
    <row r="76" spans="1:36">
      <c r="A76" s="95" t="s">
        <v>642</v>
      </c>
      <c r="B76" s="74">
        <v>250</v>
      </c>
      <c r="C76" s="95">
        <v>450</v>
      </c>
      <c r="D76" s="95">
        <v>450</v>
      </c>
      <c r="E76" s="74">
        <v>150</v>
      </c>
      <c r="F76" s="95" t="s">
        <v>491</v>
      </c>
      <c r="G76" s="74">
        <v>9</v>
      </c>
      <c r="H76" s="74">
        <v>9</v>
      </c>
      <c r="I76" s="74">
        <v>0</v>
      </c>
      <c r="J76" s="95" t="s">
        <v>492</v>
      </c>
      <c r="K76" s="74">
        <v>51.8</v>
      </c>
      <c r="L76" s="74">
        <v>0.76100000000000001</v>
      </c>
      <c r="M76" s="74">
        <v>14.7</v>
      </c>
      <c r="N76" s="74">
        <v>14.7</v>
      </c>
      <c r="O76" s="74">
        <v>25.8</v>
      </c>
      <c r="P76" s="74">
        <v>6600</v>
      </c>
      <c r="Q76" s="74">
        <v>53700000</v>
      </c>
      <c r="R76" s="74">
        <v>430000</v>
      </c>
      <c r="S76" s="74">
        <v>533000</v>
      </c>
      <c r="T76" s="74">
        <v>90.2</v>
      </c>
      <c r="U76" s="74">
        <v>90.2</v>
      </c>
      <c r="V76">
        <v>24300000</v>
      </c>
      <c r="W76" s="74">
        <v>324000</v>
      </c>
      <c r="X76" s="74">
        <v>375000</v>
      </c>
      <c r="Y76" s="74">
        <v>375</v>
      </c>
      <c r="Z76" s="95">
        <v>60.7</v>
      </c>
      <c r="AA76" s="95">
        <v>56000000</v>
      </c>
      <c r="AB76" s="74">
        <v>56</v>
      </c>
      <c r="AC76" s="95" t="s">
        <v>550</v>
      </c>
      <c r="AD76" s="74">
        <v>1</v>
      </c>
      <c r="AE76" s="95" t="s">
        <v>494</v>
      </c>
      <c r="AF76" s="95">
        <v>533000</v>
      </c>
      <c r="AG76" s="74">
        <v>533</v>
      </c>
      <c r="AH76" s="95" t="s">
        <v>495</v>
      </c>
      <c r="AI76" s="95">
        <v>352000</v>
      </c>
      <c r="AJ76" s="74">
        <v>352</v>
      </c>
    </row>
    <row r="77" spans="1:36">
      <c r="A77" s="95" t="s">
        <v>643</v>
      </c>
      <c r="B77" s="74">
        <v>250</v>
      </c>
      <c r="C77" s="95">
        <v>450</v>
      </c>
      <c r="D77" s="95">
        <v>450</v>
      </c>
      <c r="E77" s="74">
        <v>150</v>
      </c>
      <c r="F77" s="95" t="s">
        <v>491</v>
      </c>
      <c r="G77" s="74">
        <v>8</v>
      </c>
      <c r="H77" s="74">
        <v>8</v>
      </c>
      <c r="I77" s="74">
        <v>0</v>
      </c>
      <c r="J77" s="95" t="s">
        <v>492</v>
      </c>
      <c r="K77" s="74">
        <v>46.5</v>
      </c>
      <c r="L77" s="74">
        <v>0.76600000000000001</v>
      </c>
      <c r="M77" s="74">
        <v>16.5</v>
      </c>
      <c r="N77" s="74">
        <v>16.8</v>
      </c>
      <c r="O77" s="74">
        <v>29.3</v>
      </c>
      <c r="P77" s="74">
        <v>5920</v>
      </c>
      <c r="Q77" s="74">
        <v>48900000</v>
      </c>
      <c r="R77" s="74">
        <v>391000</v>
      </c>
      <c r="S77" s="74">
        <v>482000</v>
      </c>
      <c r="T77" s="74">
        <v>90.8</v>
      </c>
      <c r="U77" s="74">
        <v>90.8</v>
      </c>
      <c r="V77">
        <v>22200000</v>
      </c>
      <c r="W77" s="74">
        <v>296000</v>
      </c>
      <c r="X77" s="74">
        <v>340000</v>
      </c>
      <c r="Y77" s="74">
        <v>340</v>
      </c>
      <c r="Z77" s="95">
        <v>61.2</v>
      </c>
      <c r="AA77" s="95">
        <v>50500000</v>
      </c>
      <c r="AB77" s="74">
        <v>50.5</v>
      </c>
      <c r="AC77" s="95" t="s">
        <v>552</v>
      </c>
      <c r="AD77" s="74">
        <v>1</v>
      </c>
      <c r="AE77" s="95" t="s">
        <v>494</v>
      </c>
      <c r="AF77" s="95">
        <v>482000</v>
      </c>
      <c r="AG77" s="74">
        <v>482</v>
      </c>
      <c r="AH77" s="95" t="s">
        <v>495</v>
      </c>
      <c r="AI77" s="95">
        <v>299000</v>
      </c>
      <c r="AJ77" s="74">
        <v>299</v>
      </c>
    </row>
    <row r="78" spans="1:36">
      <c r="A78" s="95" t="s">
        <v>644</v>
      </c>
      <c r="B78" s="74">
        <v>250</v>
      </c>
      <c r="C78" s="95">
        <v>450</v>
      </c>
      <c r="D78" s="95">
        <v>450</v>
      </c>
      <c r="E78" s="74">
        <v>150</v>
      </c>
      <c r="F78" s="95" t="s">
        <v>491</v>
      </c>
      <c r="G78" s="74">
        <v>6</v>
      </c>
      <c r="H78" s="74">
        <v>6</v>
      </c>
      <c r="I78" s="74">
        <v>0</v>
      </c>
      <c r="J78" s="95" t="s">
        <v>492</v>
      </c>
      <c r="K78" s="74">
        <v>35.6</v>
      </c>
      <c r="L78" s="74">
        <v>0.77400000000000002</v>
      </c>
      <c r="M78" s="74">
        <v>21.8</v>
      </c>
      <c r="N78" s="74">
        <v>23</v>
      </c>
      <c r="O78" s="74">
        <v>39.700000000000003</v>
      </c>
      <c r="P78" s="74">
        <v>4530</v>
      </c>
      <c r="Q78" s="74">
        <v>38400000</v>
      </c>
      <c r="R78" s="74">
        <v>307000</v>
      </c>
      <c r="S78" s="74">
        <v>374000</v>
      </c>
      <c r="T78" s="74">
        <v>92</v>
      </c>
      <c r="U78" s="74">
        <v>92</v>
      </c>
      <c r="V78">
        <v>17500000</v>
      </c>
      <c r="W78" s="74">
        <v>233000</v>
      </c>
      <c r="X78" s="74">
        <v>264000</v>
      </c>
      <c r="Y78" s="74">
        <v>264</v>
      </c>
      <c r="Z78" s="95">
        <v>62.2</v>
      </c>
      <c r="AA78" s="95">
        <v>39000000</v>
      </c>
      <c r="AB78" s="74">
        <v>39</v>
      </c>
      <c r="AC78" s="95" t="s">
        <v>553</v>
      </c>
      <c r="AD78" s="74">
        <v>0.84299999999999997</v>
      </c>
      <c r="AE78" s="95" t="s">
        <v>495</v>
      </c>
      <c r="AF78" s="95">
        <v>368000</v>
      </c>
      <c r="AG78" s="74">
        <v>368</v>
      </c>
      <c r="AH78" s="95" t="s">
        <v>496</v>
      </c>
      <c r="AI78" s="95">
        <v>191000</v>
      </c>
      <c r="AJ78" s="74">
        <v>191</v>
      </c>
    </row>
    <row r="79" spans="1:36">
      <c r="A79" s="95" t="s">
        <v>645</v>
      </c>
      <c r="B79" s="74">
        <v>250</v>
      </c>
      <c r="C79" s="95">
        <v>450</v>
      </c>
      <c r="D79" s="95">
        <v>450</v>
      </c>
      <c r="E79" s="74">
        <v>150</v>
      </c>
      <c r="F79" s="95" t="s">
        <v>491</v>
      </c>
      <c r="G79" s="74">
        <v>5</v>
      </c>
      <c r="H79" s="74">
        <v>5</v>
      </c>
      <c r="I79" s="74">
        <v>0</v>
      </c>
      <c r="J79" s="95" t="s">
        <v>492</v>
      </c>
      <c r="K79" s="74">
        <v>29.9</v>
      </c>
      <c r="L79" s="74">
        <v>0.77900000000000003</v>
      </c>
      <c r="M79" s="74">
        <v>26</v>
      </c>
      <c r="N79" s="74">
        <v>28</v>
      </c>
      <c r="O79" s="74">
        <v>48</v>
      </c>
      <c r="P79" s="74">
        <v>3810</v>
      </c>
      <c r="Q79" s="74">
        <v>32700000.000000004</v>
      </c>
      <c r="R79" s="74">
        <v>262000</v>
      </c>
      <c r="S79" s="74">
        <v>317000</v>
      </c>
      <c r="T79" s="74">
        <v>92.6</v>
      </c>
      <c r="U79" s="74">
        <v>92.6</v>
      </c>
      <c r="V79">
        <v>15000000</v>
      </c>
      <c r="W79" s="74">
        <v>199000</v>
      </c>
      <c r="X79" s="74">
        <v>224000</v>
      </c>
      <c r="Y79" s="74">
        <v>224</v>
      </c>
      <c r="Z79" s="95">
        <v>62.6</v>
      </c>
      <c r="AA79" s="95">
        <v>33000000</v>
      </c>
      <c r="AB79" s="74">
        <v>33</v>
      </c>
      <c r="AC79" s="95" t="s">
        <v>554</v>
      </c>
      <c r="AD79" s="74">
        <v>0.76200000000000001</v>
      </c>
      <c r="AE79" s="95" t="s">
        <v>495</v>
      </c>
      <c r="AF79" s="95">
        <v>275000</v>
      </c>
      <c r="AG79" s="74">
        <v>275</v>
      </c>
      <c r="AH79" s="95" t="s">
        <v>496</v>
      </c>
      <c r="AI79" s="95">
        <v>144000</v>
      </c>
      <c r="AJ79" s="74">
        <v>144</v>
      </c>
    </row>
    <row r="80" spans="1:36">
      <c r="A80" s="95" t="s">
        <v>634</v>
      </c>
      <c r="B80" s="74">
        <v>300</v>
      </c>
      <c r="C80" s="95">
        <v>450</v>
      </c>
      <c r="D80" s="95">
        <v>450</v>
      </c>
      <c r="E80" s="74">
        <v>200</v>
      </c>
      <c r="F80" s="95" t="s">
        <v>491</v>
      </c>
      <c r="G80" s="74">
        <v>16</v>
      </c>
      <c r="H80" s="74">
        <v>16</v>
      </c>
      <c r="I80" s="74">
        <v>0</v>
      </c>
      <c r="J80" s="95" t="s">
        <v>492</v>
      </c>
      <c r="K80" s="74">
        <v>111</v>
      </c>
      <c r="L80" s="74">
        <v>0.93100000000000005</v>
      </c>
      <c r="M80" s="74">
        <v>8.42</v>
      </c>
      <c r="N80" s="74">
        <v>10.5</v>
      </c>
      <c r="O80" s="74">
        <v>16.8</v>
      </c>
      <c r="P80" s="74">
        <v>14100</v>
      </c>
      <c r="Q80" s="74">
        <v>161000000</v>
      </c>
      <c r="R80" s="74">
        <v>1080000</v>
      </c>
      <c r="S80" s="74">
        <v>1350000</v>
      </c>
      <c r="T80" s="74">
        <v>107</v>
      </c>
      <c r="U80" s="74">
        <v>107</v>
      </c>
      <c r="V80">
        <v>85700000</v>
      </c>
      <c r="W80" s="74">
        <v>857000</v>
      </c>
      <c r="X80" s="74">
        <v>1020000</v>
      </c>
      <c r="Y80" s="74">
        <v>1020</v>
      </c>
      <c r="Z80" s="95">
        <v>78</v>
      </c>
      <c r="AA80" s="95">
        <v>193000000</v>
      </c>
      <c r="AB80" s="74">
        <v>193</v>
      </c>
      <c r="AC80" s="95" t="s">
        <v>507</v>
      </c>
      <c r="AD80" s="74">
        <v>1</v>
      </c>
      <c r="AE80" s="95" t="s">
        <v>494</v>
      </c>
      <c r="AF80" s="95">
        <v>1350000</v>
      </c>
      <c r="AG80" s="74">
        <v>1350</v>
      </c>
      <c r="AH80" s="95" t="s">
        <v>494</v>
      </c>
      <c r="AI80" s="95">
        <v>1020000</v>
      </c>
      <c r="AJ80" s="74">
        <v>1020</v>
      </c>
    </row>
    <row r="81" spans="1:36">
      <c r="A81" s="95" t="s">
        <v>635</v>
      </c>
      <c r="B81" s="74">
        <v>300</v>
      </c>
      <c r="C81" s="95">
        <v>450</v>
      </c>
      <c r="D81" s="95">
        <v>450</v>
      </c>
      <c r="E81" s="74">
        <v>200</v>
      </c>
      <c r="F81" s="95" t="s">
        <v>491</v>
      </c>
      <c r="G81" s="74">
        <v>12.5</v>
      </c>
      <c r="H81" s="74">
        <v>12.5</v>
      </c>
      <c r="I81" s="74">
        <v>0</v>
      </c>
      <c r="J81" s="95" t="s">
        <v>492</v>
      </c>
      <c r="K81" s="74">
        <v>89</v>
      </c>
      <c r="L81" s="74">
        <v>0.94599999999999995</v>
      </c>
      <c r="M81" s="74">
        <v>10.6</v>
      </c>
      <c r="N81" s="74">
        <v>14</v>
      </c>
      <c r="O81" s="74">
        <v>22</v>
      </c>
      <c r="P81" s="74">
        <v>11300</v>
      </c>
      <c r="Q81" s="74">
        <v>135000000</v>
      </c>
      <c r="R81" s="74">
        <v>899000</v>
      </c>
      <c r="S81" s="74">
        <v>1110000</v>
      </c>
      <c r="T81" s="74">
        <v>109</v>
      </c>
      <c r="U81" s="74">
        <v>109</v>
      </c>
      <c r="V81">
        <v>72000000</v>
      </c>
      <c r="W81" s="74">
        <v>720000</v>
      </c>
      <c r="X81" s="74">
        <v>842000</v>
      </c>
      <c r="Y81" s="74">
        <v>842</v>
      </c>
      <c r="Z81" s="95">
        <v>79.7</v>
      </c>
      <c r="AA81" s="95">
        <v>158000000</v>
      </c>
      <c r="AB81" s="74">
        <v>158</v>
      </c>
      <c r="AC81" s="95" t="s">
        <v>544</v>
      </c>
      <c r="AD81" s="74">
        <v>1</v>
      </c>
      <c r="AE81" s="95" t="s">
        <v>494</v>
      </c>
      <c r="AF81" s="95">
        <v>1110000</v>
      </c>
      <c r="AG81" s="74">
        <v>1110</v>
      </c>
      <c r="AH81" s="95" t="s">
        <v>494</v>
      </c>
      <c r="AI81" s="95">
        <v>842000</v>
      </c>
      <c r="AJ81" s="74">
        <v>842</v>
      </c>
    </row>
    <row r="82" spans="1:36">
      <c r="A82" s="95" t="s">
        <v>636</v>
      </c>
      <c r="B82" s="74">
        <v>300</v>
      </c>
      <c r="C82" s="95">
        <v>450</v>
      </c>
      <c r="D82" s="95">
        <v>450</v>
      </c>
      <c r="E82" s="74">
        <v>200</v>
      </c>
      <c r="F82" s="95" t="s">
        <v>491</v>
      </c>
      <c r="G82" s="74">
        <v>10</v>
      </c>
      <c r="H82" s="74">
        <v>10</v>
      </c>
      <c r="I82" s="74">
        <v>0</v>
      </c>
      <c r="J82" s="95" t="s">
        <v>492</v>
      </c>
      <c r="K82" s="74">
        <v>72.7</v>
      </c>
      <c r="L82" s="74">
        <v>0.95699999999999996</v>
      </c>
      <c r="M82" s="74">
        <v>13.2</v>
      </c>
      <c r="N82" s="74">
        <v>18</v>
      </c>
      <c r="O82" s="74">
        <v>28</v>
      </c>
      <c r="P82" s="74">
        <v>9260</v>
      </c>
      <c r="Q82" s="74">
        <v>113000000</v>
      </c>
      <c r="R82" s="74">
        <v>754000</v>
      </c>
      <c r="S82" s="74">
        <v>921000</v>
      </c>
      <c r="T82" s="74">
        <v>111</v>
      </c>
      <c r="U82" s="74">
        <v>111</v>
      </c>
      <c r="V82">
        <v>60600000</v>
      </c>
      <c r="W82" s="74">
        <v>606000</v>
      </c>
      <c r="X82" s="74">
        <v>698000</v>
      </c>
      <c r="Y82" s="74">
        <v>698</v>
      </c>
      <c r="Z82" s="95">
        <v>80.900000000000006</v>
      </c>
      <c r="AA82" s="95">
        <v>130000000</v>
      </c>
      <c r="AB82" s="74">
        <v>130</v>
      </c>
      <c r="AC82" s="95" t="s">
        <v>545</v>
      </c>
      <c r="AD82" s="74">
        <v>1</v>
      </c>
      <c r="AE82" s="95" t="s">
        <v>494</v>
      </c>
      <c r="AF82" s="95">
        <v>921000</v>
      </c>
      <c r="AG82" s="74">
        <v>921</v>
      </c>
      <c r="AH82" s="95" t="s">
        <v>495</v>
      </c>
      <c r="AI82" s="95">
        <v>628000</v>
      </c>
      <c r="AJ82" s="74">
        <v>628</v>
      </c>
    </row>
    <row r="83" spans="1:36">
      <c r="A83" s="95" t="s">
        <v>637</v>
      </c>
      <c r="B83" s="74">
        <v>300</v>
      </c>
      <c r="C83" s="95">
        <v>450</v>
      </c>
      <c r="D83" s="95">
        <v>450</v>
      </c>
      <c r="E83" s="74">
        <v>200</v>
      </c>
      <c r="F83" s="95" t="s">
        <v>491</v>
      </c>
      <c r="G83" s="74">
        <v>8</v>
      </c>
      <c r="H83" s="74">
        <v>8</v>
      </c>
      <c r="I83" s="74">
        <v>0</v>
      </c>
      <c r="J83" s="95" t="s">
        <v>492</v>
      </c>
      <c r="K83" s="74">
        <v>59.1</v>
      </c>
      <c r="L83" s="74">
        <v>0.96599999999999997</v>
      </c>
      <c r="M83" s="74">
        <v>16.3</v>
      </c>
      <c r="N83" s="74">
        <v>23</v>
      </c>
      <c r="O83" s="74">
        <v>35.5</v>
      </c>
      <c r="P83" s="74">
        <v>7520</v>
      </c>
      <c r="Q83" s="74">
        <v>93900000</v>
      </c>
      <c r="R83" s="74">
        <v>626000</v>
      </c>
      <c r="S83" s="74">
        <v>757000</v>
      </c>
      <c r="T83" s="74">
        <v>112</v>
      </c>
      <c r="U83" s="74">
        <v>112</v>
      </c>
      <c r="V83">
        <v>50400000</v>
      </c>
      <c r="W83" s="74">
        <v>504000</v>
      </c>
      <c r="X83" s="74">
        <v>574000</v>
      </c>
      <c r="Y83" s="74">
        <v>574</v>
      </c>
      <c r="Z83" s="95">
        <v>81.900000000000006</v>
      </c>
      <c r="AA83" s="95">
        <v>106000000</v>
      </c>
      <c r="AB83" s="74">
        <v>106</v>
      </c>
      <c r="AC83" s="95" t="s">
        <v>546</v>
      </c>
      <c r="AD83" s="74">
        <v>0.90300000000000002</v>
      </c>
      <c r="AE83" s="95" t="s">
        <v>495</v>
      </c>
      <c r="AF83" s="95">
        <v>746000</v>
      </c>
      <c r="AG83" s="74">
        <v>746</v>
      </c>
      <c r="AH83" s="95" t="s">
        <v>496</v>
      </c>
      <c r="AI83" s="95">
        <v>447000</v>
      </c>
      <c r="AJ83" s="74">
        <v>447</v>
      </c>
    </row>
    <row r="84" spans="1:36">
      <c r="A84" s="95" t="s">
        <v>638</v>
      </c>
      <c r="B84" s="74">
        <v>300</v>
      </c>
      <c r="C84" s="95">
        <v>450</v>
      </c>
      <c r="D84" s="95">
        <v>450</v>
      </c>
      <c r="E84" s="74">
        <v>200</v>
      </c>
      <c r="F84" s="95" t="s">
        <v>491</v>
      </c>
      <c r="G84" s="74">
        <v>6</v>
      </c>
      <c r="H84" s="74">
        <v>6</v>
      </c>
      <c r="I84" s="74">
        <v>0</v>
      </c>
      <c r="J84" s="95" t="s">
        <v>492</v>
      </c>
      <c r="K84" s="74">
        <v>45</v>
      </c>
      <c r="L84" s="74">
        <v>0.97399999999999998</v>
      </c>
      <c r="M84" s="74">
        <v>21.7</v>
      </c>
      <c r="N84" s="74">
        <v>31.3</v>
      </c>
      <c r="O84" s="74">
        <v>48</v>
      </c>
      <c r="P84" s="74">
        <v>5730</v>
      </c>
      <c r="Q84" s="74">
        <v>73000000</v>
      </c>
      <c r="R84" s="74">
        <v>487000</v>
      </c>
      <c r="S84" s="74">
        <v>583000</v>
      </c>
      <c r="T84" s="74">
        <v>113</v>
      </c>
      <c r="U84" s="74">
        <v>113</v>
      </c>
      <c r="V84">
        <v>39300000</v>
      </c>
      <c r="W84" s="74">
        <v>393000</v>
      </c>
      <c r="X84" s="74">
        <v>443000</v>
      </c>
      <c r="Y84" s="74">
        <v>443</v>
      </c>
      <c r="Z84" s="95">
        <v>82.8</v>
      </c>
      <c r="AA84" s="95">
        <v>81400000</v>
      </c>
      <c r="AB84" s="74">
        <v>81.400000000000006</v>
      </c>
      <c r="AC84" s="95" t="s">
        <v>547</v>
      </c>
      <c r="AD84" s="74">
        <v>0.753</v>
      </c>
      <c r="AE84" s="95" t="s">
        <v>496</v>
      </c>
      <c r="AF84" s="95">
        <v>474000</v>
      </c>
      <c r="AG84" s="74">
        <v>474</v>
      </c>
      <c r="AH84" s="95" t="s">
        <v>496</v>
      </c>
      <c r="AI84" s="95">
        <v>288000</v>
      </c>
      <c r="AJ84" s="74">
        <v>288</v>
      </c>
    </row>
    <row r="85" spans="1:36">
      <c r="A85" s="95" t="s">
        <v>630</v>
      </c>
      <c r="B85" s="74">
        <v>350</v>
      </c>
      <c r="C85" s="95">
        <v>450</v>
      </c>
      <c r="D85" s="95">
        <v>450</v>
      </c>
      <c r="E85" s="74">
        <v>250</v>
      </c>
      <c r="F85" s="95" t="s">
        <v>491</v>
      </c>
      <c r="G85" s="74">
        <v>16</v>
      </c>
      <c r="H85" s="74">
        <v>16</v>
      </c>
      <c r="I85" s="74">
        <v>0</v>
      </c>
      <c r="J85" s="95" t="s">
        <v>492</v>
      </c>
      <c r="K85" s="74">
        <v>136</v>
      </c>
      <c r="L85" s="74">
        <v>1.1299999999999999</v>
      </c>
      <c r="M85" s="74">
        <v>8.33</v>
      </c>
      <c r="N85" s="74">
        <v>13.6</v>
      </c>
      <c r="O85" s="74">
        <v>19.899999999999999</v>
      </c>
      <c r="P85" s="74">
        <v>17300</v>
      </c>
      <c r="Q85" s="74">
        <v>283000000</v>
      </c>
      <c r="R85" s="74">
        <v>1620000</v>
      </c>
      <c r="S85" s="74">
        <v>1990000</v>
      </c>
      <c r="T85" s="74">
        <v>128</v>
      </c>
      <c r="U85" s="74">
        <v>128</v>
      </c>
      <c r="V85">
        <v>168000000</v>
      </c>
      <c r="W85" s="74">
        <v>1340000</v>
      </c>
      <c r="X85" s="74">
        <v>1580000</v>
      </c>
      <c r="Y85" s="74">
        <v>1580</v>
      </c>
      <c r="Z85" s="95">
        <v>98.5</v>
      </c>
      <c r="AA85" s="95">
        <v>355000000</v>
      </c>
      <c r="AB85" s="74">
        <v>355</v>
      </c>
      <c r="AC85" s="95" t="s">
        <v>502</v>
      </c>
      <c r="AD85" s="74">
        <v>1</v>
      </c>
      <c r="AE85" s="95" t="s">
        <v>494</v>
      </c>
      <c r="AF85" s="95">
        <v>1990000</v>
      </c>
      <c r="AG85" s="74">
        <v>1990</v>
      </c>
      <c r="AH85" s="95" t="s">
        <v>494</v>
      </c>
      <c r="AI85" s="95">
        <v>1580000</v>
      </c>
      <c r="AJ85" s="74">
        <v>1580</v>
      </c>
    </row>
    <row r="86" spans="1:36">
      <c r="A86" s="95" t="s">
        <v>631</v>
      </c>
      <c r="B86" s="74">
        <v>350</v>
      </c>
      <c r="C86" s="95">
        <v>450</v>
      </c>
      <c r="D86" s="95">
        <v>450</v>
      </c>
      <c r="E86" s="74">
        <v>250</v>
      </c>
      <c r="F86" s="95" t="s">
        <v>491</v>
      </c>
      <c r="G86" s="74">
        <v>12.5</v>
      </c>
      <c r="H86" s="74">
        <v>12.5</v>
      </c>
      <c r="I86" s="74">
        <v>0</v>
      </c>
      <c r="J86" s="95" t="s">
        <v>492</v>
      </c>
      <c r="K86" s="74">
        <v>109</v>
      </c>
      <c r="L86" s="74">
        <v>1.1499999999999999</v>
      </c>
      <c r="M86" s="74">
        <v>10.6</v>
      </c>
      <c r="N86" s="74">
        <v>18</v>
      </c>
      <c r="O86" s="74">
        <v>26</v>
      </c>
      <c r="P86" s="74">
        <v>13800</v>
      </c>
      <c r="Q86" s="74">
        <v>233000000</v>
      </c>
      <c r="R86" s="74">
        <v>1330000</v>
      </c>
      <c r="S86" s="74">
        <v>1620000</v>
      </c>
      <c r="T86" s="74">
        <v>130</v>
      </c>
      <c r="U86" s="74">
        <v>130</v>
      </c>
      <c r="V86">
        <v>139000000</v>
      </c>
      <c r="W86" s="74">
        <v>1110000</v>
      </c>
      <c r="X86" s="74">
        <v>1290000</v>
      </c>
      <c r="Y86" s="74">
        <v>1290</v>
      </c>
      <c r="Z86" s="95">
        <v>100</v>
      </c>
      <c r="AA86" s="95">
        <v>287000000</v>
      </c>
      <c r="AB86" s="74">
        <v>287</v>
      </c>
      <c r="AC86" s="95" t="s">
        <v>541</v>
      </c>
      <c r="AD86" s="74">
        <v>1</v>
      </c>
      <c r="AE86" s="95" t="s">
        <v>494</v>
      </c>
      <c r="AF86" s="95">
        <v>1620000</v>
      </c>
      <c r="AG86" s="74">
        <v>1620</v>
      </c>
      <c r="AH86" s="95" t="s">
        <v>495</v>
      </c>
      <c r="AI86" s="95">
        <v>1200000</v>
      </c>
      <c r="AJ86" s="74">
        <v>1200</v>
      </c>
    </row>
    <row r="87" spans="1:36">
      <c r="A87" s="95" t="s">
        <v>632</v>
      </c>
      <c r="B87" s="74">
        <v>350</v>
      </c>
      <c r="C87" s="95">
        <v>450</v>
      </c>
      <c r="D87" s="95">
        <v>450</v>
      </c>
      <c r="E87" s="74">
        <v>250</v>
      </c>
      <c r="F87" s="95" t="s">
        <v>491</v>
      </c>
      <c r="G87" s="74">
        <v>10</v>
      </c>
      <c r="H87" s="74">
        <v>10</v>
      </c>
      <c r="I87" s="74">
        <v>0</v>
      </c>
      <c r="J87" s="95" t="s">
        <v>492</v>
      </c>
      <c r="K87" s="74">
        <v>88.4</v>
      </c>
      <c r="L87" s="74">
        <v>1.1599999999999999</v>
      </c>
      <c r="M87" s="74">
        <v>13.1</v>
      </c>
      <c r="N87" s="74">
        <v>23</v>
      </c>
      <c r="O87" s="74">
        <v>33</v>
      </c>
      <c r="P87" s="74">
        <v>11300</v>
      </c>
      <c r="Q87" s="74">
        <v>194000000</v>
      </c>
      <c r="R87" s="74">
        <v>1110000</v>
      </c>
      <c r="S87" s="74">
        <v>1330000</v>
      </c>
      <c r="T87" s="74">
        <v>131</v>
      </c>
      <c r="U87" s="74">
        <v>131</v>
      </c>
      <c r="V87">
        <v>116000000</v>
      </c>
      <c r="W87" s="74">
        <v>927000</v>
      </c>
      <c r="X87" s="74">
        <v>1060000</v>
      </c>
      <c r="Y87" s="74">
        <v>1060</v>
      </c>
      <c r="Z87" s="95">
        <v>101</v>
      </c>
      <c r="AA87" s="95">
        <v>235000000</v>
      </c>
      <c r="AB87" s="74">
        <v>235</v>
      </c>
      <c r="AC87" s="95" t="s">
        <v>542</v>
      </c>
      <c r="AD87" s="74">
        <v>0.94299999999999995</v>
      </c>
      <c r="AE87" s="95" t="s">
        <v>495</v>
      </c>
      <c r="AF87" s="95">
        <v>1320000</v>
      </c>
      <c r="AG87" s="74">
        <v>1320</v>
      </c>
      <c r="AH87" s="95" t="s">
        <v>496</v>
      </c>
      <c r="AI87" s="95">
        <v>865000</v>
      </c>
      <c r="AJ87" s="74">
        <v>865</v>
      </c>
    </row>
    <row r="88" spans="1:36">
      <c r="A88" s="95" t="s">
        <v>633</v>
      </c>
      <c r="B88" s="74">
        <v>350</v>
      </c>
      <c r="C88" s="95">
        <v>450</v>
      </c>
      <c r="D88" s="95">
        <v>450</v>
      </c>
      <c r="E88" s="74">
        <v>250</v>
      </c>
      <c r="F88" s="95" t="s">
        <v>491</v>
      </c>
      <c r="G88" s="74">
        <v>8</v>
      </c>
      <c r="H88" s="74">
        <v>8</v>
      </c>
      <c r="I88" s="74">
        <v>0</v>
      </c>
      <c r="J88" s="95" t="s">
        <v>492</v>
      </c>
      <c r="K88" s="74">
        <v>71.599999999999994</v>
      </c>
      <c r="L88" s="74">
        <v>1.17</v>
      </c>
      <c r="M88" s="74">
        <v>16.3</v>
      </c>
      <c r="N88" s="74">
        <v>29.3</v>
      </c>
      <c r="O88" s="74">
        <v>41.8</v>
      </c>
      <c r="P88" s="74">
        <v>9120</v>
      </c>
      <c r="Q88" s="74">
        <v>160000000</v>
      </c>
      <c r="R88" s="74">
        <v>914000</v>
      </c>
      <c r="S88" s="74">
        <v>1090000</v>
      </c>
      <c r="T88" s="74">
        <v>132</v>
      </c>
      <c r="U88" s="74">
        <v>132</v>
      </c>
      <c r="V88">
        <v>95700000</v>
      </c>
      <c r="W88" s="74">
        <v>766000</v>
      </c>
      <c r="X88" s="74">
        <v>869000</v>
      </c>
      <c r="Y88" s="74">
        <v>869</v>
      </c>
      <c r="Z88" s="95">
        <v>102</v>
      </c>
      <c r="AA88" s="95">
        <v>191000000</v>
      </c>
      <c r="AB88" s="74">
        <v>191</v>
      </c>
      <c r="AC88" s="95" t="s">
        <v>543</v>
      </c>
      <c r="AD88" s="74">
        <v>0.83299999999999996</v>
      </c>
      <c r="AE88" s="95" t="s">
        <v>495</v>
      </c>
      <c r="AF88" s="95">
        <v>928000</v>
      </c>
      <c r="AG88" s="74">
        <v>928</v>
      </c>
      <c r="AH88" s="95" t="s">
        <v>496</v>
      </c>
      <c r="AI88" s="95">
        <v>614000</v>
      </c>
      <c r="AJ88" s="74">
        <v>614</v>
      </c>
    </row>
    <row r="89" spans="1:36">
      <c r="A89" s="95" t="s">
        <v>622</v>
      </c>
      <c r="B89" s="74">
        <v>400</v>
      </c>
      <c r="C89" s="95">
        <v>450</v>
      </c>
      <c r="D89" s="95">
        <v>450</v>
      </c>
      <c r="E89" s="74">
        <v>300</v>
      </c>
      <c r="F89" s="95" t="s">
        <v>491</v>
      </c>
      <c r="G89" s="74">
        <v>16</v>
      </c>
      <c r="H89" s="74">
        <v>16</v>
      </c>
      <c r="I89" s="74">
        <v>0</v>
      </c>
      <c r="J89" s="95" t="s">
        <v>492</v>
      </c>
      <c r="K89" s="74">
        <v>161</v>
      </c>
      <c r="L89" s="74">
        <v>1.33</v>
      </c>
      <c r="M89" s="74">
        <v>8.27</v>
      </c>
      <c r="N89" s="74">
        <v>16.8</v>
      </c>
      <c r="O89" s="74">
        <v>23</v>
      </c>
      <c r="P89" s="74">
        <v>20500</v>
      </c>
      <c r="Q89" s="74">
        <v>453000000</v>
      </c>
      <c r="R89" s="74">
        <v>2260000</v>
      </c>
      <c r="S89" s="74">
        <v>2750000</v>
      </c>
      <c r="T89" s="74">
        <v>149</v>
      </c>
      <c r="U89" s="74">
        <v>149</v>
      </c>
      <c r="V89">
        <v>290000000</v>
      </c>
      <c r="W89" s="74">
        <v>1940000</v>
      </c>
      <c r="X89" s="74">
        <v>2260000</v>
      </c>
      <c r="Y89" s="74">
        <v>2260</v>
      </c>
      <c r="Z89" s="95">
        <v>119</v>
      </c>
      <c r="AA89" s="95">
        <v>586000000</v>
      </c>
      <c r="AB89" s="74">
        <v>586</v>
      </c>
      <c r="AC89" s="95" t="s">
        <v>501</v>
      </c>
      <c r="AD89" s="74">
        <v>1</v>
      </c>
      <c r="AE89" s="95" t="s">
        <v>494</v>
      </c>
      <c r="AF89" s="95">
        <v>2750000</v>
      </c>
      <c r="AG89" s="74">
        <v>2750</v>
      </c>
      <c r="AH89" s="95" t="s">
        <v>495</v>
      </c>
      <c r="AI89" s="95">
        <v>2230000</v>
      </c>
      <c r="AJ89" s="74">
        <v>2230</v>
      </c>
    </row>
    <row r="90" spans="1:36">
      <c r="A90" s="95" t="s">
        <v>623</v>
      </c>
      <c r="B90" s="74">
        <v>400</v>
      </c>
      <c r="C90" s="95">
        <v>450</v>
      </c>
      <c r="D90" s="95">
        <v>450</v>
      </c>
      <c r="E90" s="74">
        <v>300</v>
      </c>
      <c r="F90" s="95" t="s">
        <v>491</v>
      </c>
      <c r="G90" s="74">
        <v>12.5</v>
      </c>
      <c r="H90" s="74">
        <v>12.5</v>
      </c>
      <c r="I90" s="74">
        <v>0</v>
      </c>
      <c r="J90" s="95" t="s">
        <v>492</v>
      </c>
      <c r="K90" s="74">
        <v>128</v>
      </c>
      <c r="L90" s="74">
        <v>1.35</v>
      </c>
      <c r="M90" s="74">
        <v>10.5</v>
      </c>
      <c r="N90" s="74">
        <v>22</v>
      </c>
      <c r="O90" s="74">
        <v>30</v>
      </c>
      <c r="P90" s="74">
        <v>16300</v>
      </c>
      <c r="Q90" s="74">
        <v>370000000</v>
      </c>
      <c r="R90" s="74">
        <v>1850000</v>
      </c>
      <c r="S90" s="74">
        <v>2230000</v>
      </c>
      <c r="T90" s="74">
        <v>151</v>
      </c>
      <c r="U90" s="74">
        <v>151</v>
      </c>
      <c r="V90">
        <v>238000000</v>
      </c>
      <c r="W90" s="74">
        <v>1590000</v>
      </c>
      <c r="X90" s="74">
        <v>1830000</v>
      </c>
      <c r="Y90" s="74">
        <v>1830</v>
      </c>
      <c r="Z90" s="95">
        <v>121</v>
      </c>
      <c r="AA90" s="95">
        <v>471000000</v>
      </c>
      <c r="AB90" s="74">
        <v>471</v>
      </c>
      <c r="AC90" s="95" t="s">
        <v>535</v>
      </c>
      <c r="AD90" s="74">
        <v>0.996</v>
      </c>
      <c r="AE90" s="95" t="s">
        <v>494</v>
      </c>
      <c r="AF90" s="95">
        <v>2230000</v>
      </c>
      <c r="AG90" s="74">
        <v>2230</v>
      </c>
      <c r="AH90" s="95" t="s">
        <v>496</v>
      </c>
      <c r="AI90" s="95">
        <v>1580000</v>
      </c>
      <c r="AJ90" s="74">
        <v>1580</v>
      </c>
    </row>
    <row r="91" spans="1:36">
      <c r="A91" s="95" t="s">
        <v>624</v>
      </c>
      <c r="B91" s="74">
        <v>400</v>
      </c>
      <c r="C91" s="95">
        <v>450</v>
      </c>
      <c r="D91" s="95">
        <v>450</v>
      </c>
      <c r="E91" s="74">
        <v>300</v>
      </c>
      <c r="F91" s="95" t="s">
        <v>491</v>
      </c>
      <c r="G91" s="74">
        <v>10</v>
      </c>
      <c r="H91" s="74">
        <v>10</v>
      </c>
      <c r="I91" s="74">
        <v>0</v>
      </c>
      <c r="J91" s="95" t="s">
        <v>492</v>
      </c>
      <c r="K91" s="74">
        <v>104</v>
      </c>
      <c r="L91" s="74">
        <v>1.36</v>
      </c>
      <c r="M91" s="74">
        <v>13</v>
      </c>
      <c r="N91" s="74">
        <v>28</v>
      </c>
      <c r="O91" s="74">
        <v>38</v>
      </c>
      <c r="P91" s="74">
        <v>13300</v>
      </c>
      <c r="Q91" s="74">
        <v>306000000</v>
      </c>
      <c r="R91" s="74">
        <v>1530000</v>
      </c>
      <c r="S91" s="74">
        <v>1820000</v>
      </c>
      <c r="T91" s="74">
        <v>152</v>
      </c>
      <c r="U91" s="74">
        <v>152</v>
      </c>
      <c r="V91">
        <v>197000000</v>
      </c>
      <c r="W91" s="74">
        <v>1320000</v>
      </c>
      <c r="X91" s="74">
        <v>1500000</v>
      </c>
      <c r="Y91" s="74">
        <v>1500</v>
      </c>
      <c r="Z91" s="95">
        <v>122</v>
      </c>
      <c r="AA91" s="95">
        <v>384000000</v>
      </c>
      <c r="AB91" s="74">
        <v>384</v>
      </c>
      <c r="AC91" s="95" t="s">
        <v>536</v>
      </c>
      <c r="AD91" s="74">
        <v>0.877</v>
      </c>
      <c r="AE91" s="95" t="s">
        <v>495</v>
      </c>
      <c r="AF91" s="95">
        <v>1600000</v>
      </c>
      <c r="AG91" s="74">
        <v>1600</v>
      </c>
      <c r="AH91" s="95" t="s">
        <v>496</v>
      </c>
      <c r="AI91" s="95">
        <v>1120000</v>
      </c>
      <c r="AJ91" s="74">
        <v>1120</v>
      </c>
    </row>
    <row r="92" spans="1:36">
      <c r="A92" s="95" t="s">
        <v>625</v>
      </c>
      <c r="B92" s="74">
        <v>400</v>
      </c>
      <c r="C92" s="95">
        <v>450</v>
      </c>
      <c r="D92" s="95">
        <v>450</v>
      </c>
      <c r="E92" s="74">
        <v>300</v>
      </c>
      <c r="F92" s="95" t="s">
        <v>491</v>
      </c>
      <c r="G92" s="74">
        <v>8</v>
      </c>
      <c r="H92" s="74">
        <v>8</v>
      </c>
      <c r="I92" s="74">
        <v>0</v>
      </c>
      <c r="J92" s="95" t="s">
        <v>492</v>
      </c>
      <c r="K92" s="74">
        <v>84.2</v>
      </c>
      <c r="L92" s="74">
        <v>1.37</v>
      </c>
      <c r="M92" s="74">
        <v>16.2</v>
      </c>
      <c r="N92" s="74">
        <v>35.5</v>
      </c>
      <c r="O92" s="74">
        <v>48</v>
      </c>
      <c r="P92" s="74">
        <v>10700</v>
      </c>
      <c r="Q92" s="74">
        <v>251000000</v>
      </c>
      <c r="R92" s="74">
        <v>1260000</v>
      </c>
      <c r="S92" s="74">
        <v>1490000</v>
      </c>
      <c r="T92" s="74">
        <v>153</v>
      </c>
      <c r="U92" s="74">
        <v>153</v>
      </c>
      <c r="V92">
        <v>162000000</v>
      </c>
      <c r="W92" s="74">
        <v>1080000</v>
      </c>
      <c r="X92" s="74">
        <v>1220000</v>
      </c>
      <c r="Y92" s="74">
        <v>1220</v>
      </c>
      <c r="Z92" s="95">
        <v>123</v>
      </c>
      <c r="AA92" s="95">
        <v>312000000</v>
      </c>
      <c r="AB92" s="74">
        <v>312</v>
      </c>
      <c r="AC92" s="95" t="s">
        <v>537</v>
      </c>
      <c r="AD92" s="74">
        <v>0.71499999999999997</v>
      </c>
      <c r="AE92" s="95" t="s">
        <v>496</v>
      </c>
      <c r="AF92" s="95">
        <v>1140000</v>
      </c>
      <c r="AG92" s="74">
        <v>1140</v>
      </c>
      <c r="AH92" s="95" t="s">
        <v>496</v>
      </c>
      <c r="AI92" s="95">
        <v>800000</v>
      </c>
      <c r="AJ92" s="74">
        <v>800</v>
      </c>
    </row>
    <row r="93" spans="1:36">
      <c r="A93" s="95" t="s">
        <v>626</v>
      </c>
      <c r="B93" s="74">
        <v>400</v>
      </c>
      <c r="C93" s="95">
        <v>450</v>
      </c>
      <c r="D93" s="95">
        <v>450</v>
      </c>
      <c r="E93" s="74">
        <v>200</v>
      </c>
      <c r="F93" s="95" t="s">
        <v>491</v>
      </c>
      <c r="G93" s="74">
        <v>16</v>
      </c>
      <c r="H93" s="74">
        <v>16</v>
      </c>
      <c r="I93" s="74">
        <v>0</v>
      </c>
      <c r="J93" s="95" t="s">
        <v>492</v>
      </c>
      <c r="K93" s="74">
        <v>136</v>
      </c>
      <c r="L93" s="74">
        <v>1.1299999999999999</v>
      </c>
      <c r="M93" s="74">
        <v>8.33</v>
      </c>
      <c r="N93" s="74">
        <v>10.5</v>
      </c>
      <c r="O93" s="74">
        <v>23</v>
      </c>
      <c r="P93" s="74">
        <v>17300</v>
      </c>
      <c r="Q93" s="74">
        <v>335000000</v>
      </c>
      <c r="R93" s="74">
        <v>1670000</v>
      </c>
      <c r="S93" s="74">
        <v>2140000</v>
      </c>
      <c r="T93" s="74">
        <v>139</v>
      </c>
      <c r="U93" s="74">
        <v>139</v>
      </c>
      <c r="V93">
        <v>113000000</v>
      </c>
      <c r="W93" s="74">
        <v>1130000</v>
      </c>
      <c r="X93" s="74">
        <v>1320000</v>
      </c>
      <c r="Y93" s="74">
        <v>1320</v>
      </c>
      <c r="Z93" s="95">
        <v>80.8</v>
      </c>
      <c r="AA93" s="95">
        <v>290000000</v>
      </c>
      <c r="AB93" s="74">
        <v>290</v>
      </c>
      <c r="AC93" s="95" t="s">
        <v>504</v>
      </c>
      <c r="AD93" s="74">
        <v>1</v>
      </c>
      <c r="AE93" s="95" t="s">
        <v>494</v>
      </c>
      <c r="AF93" s="95">
        <v>2140000</v>
      </c>
      <c r="AG93" s="74">
        <v>2140</v>
      </c>
      <c r="AH93" s="95" t="s">
        <v>495</v>
      </c>
      <c r="AI93" s="95">
        <v>1300000</v>
      </c>
      <c r="AJ93" s="74">
        <v>1300</v>
      </c>
    </row>
    <row r="94" spans="1:36">
      <c r="A94" s="95" t="s">
        <v>627</v>
      </c>
      <c r="B94" s="74">
        <v>400</v>
      </c>
      <c r="C94" s="95">
        <v>450</v>
      </c>
      <c r="D94" s="95">
        <v>450</v>
      </c>
      <c r="E94" s="74">
        <v>200</v>
      </c>
      <c r="F94" s="95" t="s">
        <v>491</v>
      </c>
      <c r="G94" s="74">
        <v>12.5</v>
      </c>
      <c r="H94" s="74">
        <v>12.5</v>
      </c>
      <c r="I94" s="74">
        <v>0</v>
      </c>
      <c r="J94" s="95" t="s">
        <v>492</v>
      </c>
      <c r="K94" s="74">
        <v>109</v>
      </c>
      <c r="L94" s="74">
        <v>1.1499999999999999</v>
      </c>
      <c r="M94" s="74">
        <v>10.6</v>
      </c>
      <c r="N94" s="74">
        <v>14</v>
      </c>
      <c r="O94" s="74">
        <v>30</v>
      </c>
      <c r="P94" s="74">
        <v>13800</v>
      </c>
      <c r="Q94" s="74">
        <v>277000000</v>
      </c>
      <c r="R94" s="74">
        <v>1380000</v>
      </c>
      <c r="S94" s="74">
        <v>1740000</v>
      </c>
      <c r="T94" s="74">
        <v>141</v>
      </c>
      <c r="U94" s="74">
        <v>141</v>
      </c>
      <c r="V94">
        <v>94000000</v>
      </c>
      <c r="W94" s="74">
        <v>940000</v>
      </c>
      <c r="X94" s="74">
        <v>1080000</v>
      </c>
      <c r="Y94" s="74">
        <v>1080</v>
      </c>
      <c r="Z94" s="95">
        <v>82.4</v>
      </c>
      <c r="AA94" s="95">
        <v>236000000</v>
      </c>
      <c r="AB94" s="74">
        <v>236</v>
      </c>
      <c r="AC94" s="95" t="s">
        <v>538</v>
      </c>
      <c r="AD94" s="74">
        <v>0.996</v>
      </c>
      <c r="AE94" s="95" t="s">
        <v>494</v>
      </c>
      <c r="AF94" s="95">
        <v>1740000</v>
      </c>
      <c r="AG94" s="74">
        <v>1740</v>
      </c>
      <c r="AH94" s="95" t="s">
        <v>496</v>
      </c>
      <c r="AI94" s="95">
        <v>936000</v>
      </c>
      <c r="AJ94" s="74">
        <v>936</v>
      </c>
    </row>
    <row r="95" spans="1:36">
      <c r="A95" s="95" t="s">
        <v>628</v>
      </c>
      <c r="B95" s="74">
        <v>400</v>
      </c>
      <c r="C95" s="95">
        <v>450</v>
      </c>
      <c r="D95" s="95">
        <v>450</v>
      </c>
      <c r="E95" s="74">
        <v>200</v>
      </c>
      <c r="F95" s="95" t="s">
        <v>491</v>
      </c>
      <c r="G95" s="74">
        <v>10</v>
      </c>
      <c r="H95" s="74">
        <v>10</v>
      </c>
      <c r="I95" s="74">
        <v>0</v>
      </c>
      <c r="J95" s="95" t="s">
        <v>492</v>
      </c>
      <c r="K95" s="74">
        <v>88.4</v>
      </c>
      <c r="L95" s="74">
        <v>1.1599999999999999</v>
      </c>
      <c r="M95" s="74">
        <v>13.1</v>
      </c>
      <c r="N95" s="74">
        <v>18</v>
      </c>
      <c r="O95" s="74">
        <v>38</v>
      </c>
      <c r="P95" s="74">
        <v>11300</v>
      </c>
      <c r="Q95" s="74">
        <v>230000000</v>
      </c>
      <c r="R95" s="74">
        <v>1150000</v>
      </c>
      <c r="S95" s="74">
        <v>1430000</v>
      </c>
      <c r="T95" s="74">
        <v>143</v>
      </c>
      <c r="U95" s="74">
        <v>143</v>
      </c>
      <c r="V95">
        <v>78600000</v>
      </c>
      <c r="W95" s="74">
        <v>786000</v>
      </c>
      <c r="X95" s="74">
        <v>888000</v>
      </c>
      <c r="Y95" s="74">
        <v>888</v>
      </c>
      <c r="Z95" s="95">
        <v>83.6</v>
      </c>
      <c r="AA95" s="95">
        <v>194000000</v>
      </c>
      <c r="AB95" s="74">
        <v>194</v>
      </c>
      <c r="AC95" s="95" t="s">
        <v>539</v>
      </c>
      <c r="AD95" s="74">
        <v>0.85499999999999998</v>
      </c>
      <c r="AE95" s="95" t="s">
        <v>494</v>
      </c>
      <c r="AF95" s="95">
        <v>1430000</v>
      </c>
      <c r="AG95" s="74">
        <v>1430</v>
      </c>
      <c r="AH95" s="95" t="s">
        <v>496</v>
      </c>
      <c r="AI95" s="95">
        <v>658000</v>
      </c>
      <c r="AJ95" s="74">
        <v>658</v>
      </c>
    </row>
    <row r="96" spans="1:36">
      <c r="A96" s="95" t="s">
        <v>629</v>
      </c>
      <c r="B96" s="74">
        <v>400</v>
      </c>
      <c r="C96" s="95">
        <v>450</v>
      </c>
      <c r="D96" s="95">
        <v>450</v>
      </c>
      <c r="E96" s="74">
        <v>200</v>
      </c>
      <c r="F96" s="95" t="s">
        <v>491</v>
      </c>
      <c r="G96" s="74">
        <v>8</v>
      </c>
      <c r="H96" s="74">
        <v>8</v>
      </c>
      <c r="I96" s="74">
        <v>0</v>
      </c>
      <c r="J96" s="95" t="s">
        <v>492</v>
      </c>
      <c r="K96" s="74">
        <v>71.599999999999994</v>
      </c>
      <c r="L96" s="74">
        <v>1.17</v>
      </c>
      <c r="M96" s="74">
        <v>16.3</v>
      </c>
      <c r="N96" s="74">
        <v>23</v>
      </c>
      <c r="O96" s="74">
        <v>48</v>
      </c>
      <c r="P96" s="74">
        <v>9120</v>
      </c>
      <c r="Q96" s="74">
        <v>190000000</v>
      </c>
      <c r="R96" s="74">
        <v>949000</v>
      </c>
      <c r="S96" s="74">
        <v>1170000</v>
      </c>
      <c r="T96" s="74">
        <v>144</v>
      </c>
      <c r="U96" s="74">
        <v>144</v>
      </c>
      <c r="V96">
        <v>65200000</v>
      </c>
      <c r="W96" s="74">
        <v>652000</v>
      </c>
      <c r="X96" s="74">
        <v>728000</v>
      </c>
      <c r="Y96" s="74">
        <v>728</v>
      </c>
      <c r="Z96" s="95">
        <v>84.5</v>
      </c>
      <c r="AA96" s="95">
        <v>158000000</v>
      </c>
      <c r="AB96" s="74">
        <v>158</v>
      </c>
      <c r="AC96" s="95" t="s">
        <v>540</v>
      </c>
      <c r="AD96" s="74">
        <v>0.745</v>
      </c>
      <c r="AE96" s="95" t="s">
        <v>495</v>
      </c>
      <c r="AF96" s="95">
        <v>1150000</v>
      </c>
      <c r="AG96" s="74">
        <v>1150</v>
      </c>
      <c r="AH96" s="95" t="s">
        <v>496</v>
      </c>
      <c r="AI96" s="95">
        <v>464000</v>
      </c>
      <c r="AJ96" s="74">
        <v>464</v>
      </c>
    </row>
  </sheetData>
  <phoneticPr fontId="15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7687-648F-4180-A797-D97F63CBA129}">
  <dimension ref="A1:AF97"/>
  <sheetViews>
    <sheetView workbookViewId="0">
      <selection activeCell="C9" sqref="C9"/>
    </sheetView>
  </sheetViews>
  <sheetFormatPr defaultRowHeight="14.4"/>
  <cols>
    <col min="1" max="1" width="14.33203125" style="74" customWidth="1"/>
    <col min="2" max="2" width="12.6640625" bestFit="1" customWidth="1"/>
    <col min="3" max="3" width="12.6640625" style="74" bestFit="1" customWidth="1"/>
    <col min="4" max="5" width="12.6640625" bestFit="1" customWidth="1"/>
    <col min="6" max="6" width="12.6640625" style="74" bestFit="1" customWidth="1"/>
    <col min="7" max="11" width="12.6640625" bestFit="1" customWidth="1"/>
    <col min="12" max="14" width="13.6640625" bestFit="1" customWidth="1"/>
    <col min="15" max="15" width="13.6640625" style="74" customWidth="1"/>
    <col min="16" max="16" width="13.6640625" bestFit="1" customWidth="1"/>
    <col min="17" max="17" width="13.6640625" style="74" customWidth="1"/>
    <col min="18" max="19" width="13.6640625" bestFit="1" customWidth="1"/>
    <col min="20" max="20" width="13.6640625" style="74" customWidth="1"/>
    <col min="21" max="21" width="13.6640625" style="74" bestFit="1" customWidth="1"/>
    <col min="22" max="22" width="13.6640625" bestFit="1" customWidth="1"/>
    <col min="23" max="23" width="13.6640625" style="74" customWidth="1"/>
    <col min="24" max="28" width="13.6640625" bestFit="1" customWidth="1"/>
    <col min="29" max="29" width="13.6640625" style="74" customWidth="1"/>
    <col min="30" max="30" width="13.6640625" bestFit="1" customWidth="1"/>
  </cols>
  <sheetData>
    <row r="1" spans="1:32" s="74" customFormat="1">
      <c r="A1" s="21"/>
      <c r="B1" s="22"/>
      <c r="E1" s="22" t="s">
        <v>362</v>
      </c>
      <c r="F1" s="22"/>
      <c r="G1" s="22"/>
      <c r="I1" s="22"/>
      <c r="M1" s="22" t="s">
        <v>361</v>
      </c>
      <c r="N1" s="22"/>
      <c r="O1" s="22"/>
      <c r="P1" s="22"/>
      <c r="Q1" s="106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3"/>
    </row>
    <row r="2" spans="1:32" s="74" customFormat="1">
      <c r="A2" s="22"/>
      <c r="B2" s="22"/>
      <c r="E2" s="22"/>
      <c r="F2" s="22"/>
      <c r="G2" s="22"/>
      <c r="I2" s="22"/>
      <c r="M2" s="22"/>
      <c r="N2" s="22"/>
      <c r="O2" s="22"/>
      <c r="P2" s="22"/>
      <c r="Q2" s="106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3"/>
    </row>
    <row r="3" spans="1:32" s="74" customFormat="1">
      <c r="A3" s="24" t="s">
        <v>7</v>
      </c>
      <c r="B3" s="24"/>
      <c r="E3" s="24"/>
      <c r="F3" s="24"/>
      <c r="G3" s="24"/>
      <c r="I3" s="57" t="s">
        <v>360</v>
      </c>
      <c r="M3" s="103" t="s">
        <v>195</v>
      </c>
      <c r="N3" s="103"/>
      <c r="O3" s="103"/>
      <c r="P3" s="103"/>
      <c r="Q3" s="104"/>
      <c r="S3" s="103"/>
      <c r="T3" s="103"/>
      <c r="U3" s="114"/>
      <c r="V3" s="103"/>
      <c r="W3" s="103"/>
      <c r="X3" s="26"/>
      <c r="Y3" s="103"/>
      <c r="Z3" s="103"/>
      <c r="AA3" s="103"/>
      <c r="AB3" s="103"/>
      <c r="AC3" s="103"/>
      <c r="AD3" s="103"/>
      <c r="AE3" s="27" t="s">
        <v>193</v>
      </c>
    </row>
    <row r="4" spans="1:32" s="74" customFormat="1">
      <c r="A4" s="100"/>
      <c r="B4" s="100"/>
      <c r="E4" s="100"/>
      <c r="F4" s="100"/>
      <c r="G4" s="100"/>
      <c r="I4" s="58" t="s">
        <v>359</v>
      </c>
      <c r="M4" s="67" t="s">
        <v>192</v>
      </c>
      <c r="N4" s="72" t="s">
        <v>16</v>
      </c>
      <c r="O4" s="72"/>
      <c r="P4" s="72"/>
      <c r="Q4" s="105"/>
      <c r="S4" s="72"/>
      <c r="T4" s="72"/>
      <c r="U4" s="113"/>
      <c r="V4" s="102"/>
      <c r="W4" s="102"/>
      <c r="X4" s="72" t="s">
        <v>19</v>
      </c>
      <c r="Y4" s="72"/>
      <c r="Z4" s="72"/>
      <c r="AA4" s="72"/>
      <c r="AB4" s="72"/>
      <c r="AC4" s="105"/>
      <c r="AD4" s="67"/>
      <c r="AE4" s="101"/>
    </row>
    <row r="5" spans="1:32" s="74" customFormat="1">
      <c r="A5" s="100"/>
      <c r="B5" s="100"/>
      <c r="E5" s="100"/>
      <c r="F5" s="100"/>
      <c r="G5" s="100"/>
      <c r="I5" s="58" t="s">
        <v>358</v>
      </c>
      <c r="M5" s="67" t="s">
        <v>190</v>
      </c>
      <c r="N5" s="67"/>
      <c r="O5" s="67"/>
      <c r="P5" s="67"/>
      <c r="Q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101"/>
    </row>
    <row r="6" spans="1:32" s="74" customFormat="1">
      <c r="A6" s="31" t="s">
        <v>118</v>
      </c>
      <c r="B6" s="31" t="s">
        <v>9</v>
      </c>
      <c r="C6" s="74" t="s">
        <v>369</v>
      </c>
      <c r="D6" s="74" t="s">
        <v>370</v>
      </c>
      <c r="E6" s="31" t="s">
        <v>10</v>
      </c>
      <c r="F6" s="31" t="s">
        <v>12</v>
      </c>
      <c r="G6" s="31" t="s">
        <v>13</v>
      </c>
      <c r="I6" s="59" t="s">
        <v>119</v>
      </c>
      <c r="M6" s="102" t="s">
        <v>120</v>
      </c>
      <c r="N6" s="102" t="s">
        <v>121</v>
      </c>
      <c r="O6" s="102" t="s">
        <v>797</v>
      </c>
      <c r="P6" s="102" t="s">
        <v>122</v>
      </c>
      <c r="Q6" s="104" t="s">
        <v>798</v>
      </c>
      <c r="S6" s="102" t="s">
        <v>123</v>
      </c>
      <c r="T6" s="102" t="s">
        <v>800</v>
      </c>
      <c r="U6" s="113" t="s">
        <v>810</v>
      </c>
      <c r="V6" s="102" t="s">
        <v>124</v>
      </c>
      <c r="W6" s="102"/>
      <c r="X6" s="102" t="s">
        <v>17</v>
      </c>
      <c r="Y6" s="102"/>
      <c r="Z6" s="102" t="s">
        <v>130</v>
      </c>
      <c r="AA6" s="102"/>
      <c r="AB6" s="102" t="s">
        <v>606</v>
      </c>
      <c r="AC6" s="104" t="s">
        <v>605</v>
      </c>
      <c r="AD6" s="74" t="s">
        <v>604</v>
      </c>
      <c r="AE6" s="41" t="s">
        <v>18</v>
      </c>
      <c r="AF6" s="104"/>
    </row>
    <row r="7" spans="1:32">
      <c r="A7" s="35" t="s">
        <v>132</v>
      </c>
      <c r="B7" s="35" t="s">
        <v>133</v>
      </c>
      <c r="C7" s="74" t="s">
        <v>171</v>
      </c>
      <c r="D7" t="s">
        <v>803</v>
      </c>
      <c r="E7" s="35" t="s">
        <v>584</v>
      </c>
      <c r="F7" s="35" t="s">
        <v>586</v>
      </c>
      <c r="G7" s="35" t="s">
        <v>795</v>
      </c>
      <c r="H7" t="s">
        <v>596</v>
      </c>
      <c r="I7" s="60" t="s">
        <v>8</v>
      </c>
      <c r="J7" t="s">
        <v>597</v>
      </c>
      <c r="K7" t="s">
        <v>598</v>
      </c>
      <c r="L7" t="s">
        <v>599</v>
      </c>
      <c r="M7" s="65" t="s">
        <v>134</v>
      </c>
      <c r="N7" s="65" t="s">
        <v>135</v>
      </c>
      <c r="O7" s="65" t="s">
        <v>796</v>
      </c>
      <c r="P7" s="65" t="s">
        <v>136</v>
      </c>
      <c r="Q7" s="65" t="s">
        <v>603</v>
      </c>
      <c r="R7" t="s">
        <v>600</v>
      </c>
      <c r="S7" s="65" t="s">
        <v>587</v>
      </c>
      <c r="T7" s="65" t="s">
        <v>799</v>
      </c>
      <c r="U7" s="65" t="s">
        <v>588</v>
      </c>
      <c r="V7" s="65" t="s">
        <v>811</v>
      </c>
      <c r="W7" s="65" t="s">
        <v>801</v>
      </c>
      <c r="X7" s="65" t="s">
        <v>589</v>
      </c>
      <c r="Y7" s="65" t="s">
        <v>590</v>
      </c>
      <c r="Z7" s="65" t="s">
        <v>591</v>
      </c>
      <c r="AA7" s="65" t="s">
        <v>592</v>
      </c>
      <c r="AB7" s="65" t="s">
        <v>593</v>
      </c>
      <c r="AC7" s="65" t="s">
        <v>700</v>
      </c>
      <c r="AD7" s="65" t="s">
        <v>594</v>
      </c>
      <c r="AE7" s="42" t="s">
        <v>137</v>
      </c>
    </row>
    <row r="8" spans="1:32">
      <c r="A8" s="74" t="s">
        <v>705</v>
      </c>
      <c r="B8" s="74">
        <v>50</v>
      </c>
      <c r="C8" s="95">
        <v>350</v>
      </c>
      <c r="D8" s="95">
        <v>350</v>
      </c>
      <c r="E8" s="74">
        <v>50</v>
      </c>
      <c r="F8" s="74">
        <v>6</v>
      </c>
      <c r="G8" s="74">
        <v>6</v>
      </c>
      <c r="H8" s="95" t="s">
        <v>704</v>
      </c>
      <c r="I8" s="74">
        <v>7.32</v>
      </c>
      <c r="J8" s="74">
        <v>0.17399999999999999</v>
      </c>
      <c r="K8" s="74">
        <v>23.8</v>
      </c>
      <c r="L8" s="74">
        <v>6.33</v>
      </c>
      <c r="M8" s="74">
        <v>932</v>
      </c>
      <c r="N8" s="74">
        <v>275000</v>
      </c>
      <c r="O8" s="74">
        <v>275000</v>
      </c>
      <c r="P8" s="74">
        <v>11000</v>
      </c>
      <c r="Q8" s="74">
        <v>11000</v>
      </c>
      <c r="R8" s="74">
        <v>9.4499999999999993</v>
      </c>
      <c r="S8" s="74">
        <v>14500</v>
      </c>
      <c r="T8" s="74">
        <v>14500</v>
      </c>
      <c r="U8" s="74">
        <v>17.2</v>
      </c>
      <c r="V8" s="74">
        <v>17.2</v>
      </c>
      <c r="W8" s="74">
        <v>518000</v>
      </c>
      <c r="X8" s="74">
        <v>518000</v>
      </c>
      <c r="Y8" s="74">
        <v>17.7</v>
      </c>
      <c r="Z8" s="74">
        <v>1</v>
      </c>
      <c r="AA8" s="74">
        <v>7.49</v>
      </c>
      <c r="AB8" s="95" t="s">
        <v>494</v>
      </c>
      <c r="AC8" s="95">
        <v>14500</v>
      </c>
      <c r="AD8" s="74">
        <v>14500</v>
      </c>
      <c r="AE8">
        <v>0</v>
      </c>
    </row>
    <row r="9" spans="1:32">
      <c r="A9" s="74" t="s">
        <v>706</v>
      </c>
      <c r="B9" s="74">
        <v>50</v>
      </c>
      <c r="C9" s="95">
        <v>350</v>
      </c>
      <c r="D9" s="95">
        <v>350</v>
      </c>
      <c r="E9" s="74">
        <v>50</v>
      </c>
      <c r="F9" s="74">
        <v>5</v>
      </c>
      <c r="G9" s="74">
        <v>5</v>
      </c>
      <c r="H9" s="95" t="s">
        <v>704</v>
      </c>
      <c r="I9" s="74">
        <v>6.39</v>
      </c>
      <c r="J9" s="74">
        <v>0.17899999999999999</v>
      </c>
      <c r="K9" s="74">
        <v>27.9</v>
      </c>
      <c r="L9" s="74">
        <v>8</v>
      </c>
      <c r="M9" s="74">
        <v>814</v>
      </c>
      <c r="N9" s="74">
        <v>257000</v>
      </c>
      <c r="O9" s="74">
        <v>257000</v>
      </c>
      <c r="P9" s="74">
        <v>10300</v>
      </c>
      <c r="Q9" s="74">
        <v>10300</v>
      </c>
      <c r="R9" s="74">
        <v>8.51</v>
      </c>
      <c r="S9" s="74">
        <v>13200</v>
      </c>
      <c r="T9" s="74">
        <v>13200</v>
      </c>
      <c r="U9" s="74">
        <v>17.8</v>
      </c>
      <c r="V9" s="74">
        <v>17.8</v>
      </c>
      <c r="W9" s="74">
        <v>469000</v>
      </c>
      <c r="X9" s="74">
        <v>469000</v>
      </c>
      <c r="Y9" s="74">
        <v>16.3</v>
      </c>
      <c r="Z9" s="74">
        <v>1</v>
      </c>
      <c r="AA9" s="74">
        <v>9.4700000000000006</v>
      </c>
      <c r="AB9" s="95" t="s">
        <v>494</v>
      </c>
      <c r="AC9" s="95">
        <v>13200</v>
      </c>
      <c r="AD9" s="74">
        <v>13200</v>
      </c>
      <c r="AE9" s="74">
        <v>0</v>
      </c>
    </row>
    <row r="10" spans="1:32">
      <c r="A10" s="74" t="s">
        <v>707</v>
      </c>
      <c r="B10" s="74">
        <v>50</v>
      </c>
      <c r="C10" s="95">
        <v>350</v>
      </c>
      <c r="D10" s="95">
        <v>350</v>
      </c>
      <c r="E10" s="74">
        <v>50</v>
      </c>
      <c r="F10" s="74">
        <v>4</v>
      </c>
      <c r="G10" s="74">
        <v>4</v>
      </c>
      <c r="H10" s="95" t="s">
        <v>704</v>
      </c>
      <c r="I10" s="74">
        <v>5.35</v>
      </c>
      <c r="J10" s="74">
        <v>0.183</v>
      </c>
      <c r="K10" s="74">
        <v>34.200000000000003</v>
      </c>
      <c r="L10" s="74">
        <v>10.5</v>
      </c>
      <c r="M10" s="74">
        <v>681</v>
      </c>
      <c r="N10" s="74">
        <v>229000</v>
      </c>
      <c r="O10" s="74">
        <v>229000</v>
      </c>
      <c r="P10" s="74">
        <v>9150</v>
      </c>
      <c r="Q10" s="74">
        <v>9150</v>
      </c>
      <c r="R10" s="74">
        <v>7.33</v>
      </c>
      <c r="S10" s="74">
        <v>11400</v>
      </c>
      <c r="T10" s="74">
        <v>11400</v>
      </c>
      <c r="U10" s="74">
        <v>18.3</v>
      </c>
      <c r="V10" s="74">
        <v>18.3</v>
      </c>
      <c r="W10" s="74">
        <v>403000</v>
      </c>
      <c r="X10" s="74">
        <v>403000</v>
      </c>
      <c r="Y10" s="74">
        <v>14.3</v>
      </c>
      <c r="Z10" s="74">
        <v>1</v>
      </c>
      <c r="AA10" s="74">
        <v>12.4</v>
      </c>
      <c r="AB10" s="95" t="s">
        <v>494</v>
      </c>
      <c r="AC10" s="95">
        <v>11400</v>
      </c>
      <c r="AD10" s="74">
        <v>11400</v>
      </c>
      <c r="AE10" s="74">
        <v>0</v>
      </c>
    </row>
    <row r="11" spans="1:32">
      <c r="A11" s="74" t="s">
        <v>708</v>
      </c>
      <c r="B11" s="74">
        <v>50</v>
      </c>
      <c r="C11" s="95">
        <v>350</v>
      </c>
      <c r="D11" s="95">
        <v>350</v>
      </c>
      <c r="E11" s="74">
        <v>50</v>
      </c>
      <c r="F11" s="74">
        <v>3</v>
      </c>
      <c r="G11" s="74">
        <v>3</v>
      </c>
      <c r="H11" s="95" t="s">
        <v>704</v>
      </c>
      <c r="I11" s="74">
        <v>4.25</v>
      </c>
      <c r="J11" s="74">
        <v>0.19</v>
      </c>
      <c r="K11" s="74">
        <v>44.7</v>
      </c>
      <c r="L11" s="74">
        <v>14.7</v>
      </c>
      <c r="M11" s="74">
        <v>541</v>
      </c>
      <c r="N11" s="74">
        <v>195000</v>
      </c>
      <c r="O11" s="74">
        <v>195000</v>
      </c>
      <c r="P11" s="74">
        <v>7790</v>
      </c>
      <c r="Q11" s="74">
        <v>7790</v>
      </c>
      <c r="R11" s="74">
        <v>5.92</v>
      </c>
      <c r="S11" s="74">
        <v>9390</v>
      </c>
      <c r="T11" s="74">
        <v>9390</v>
      </c>
      <c r="U11" s="74">
        <v>19</v>
      </c>
      <c r="V11" s="74">
        <v>19</v>
      </c>
      <c r="W11" s="74">
        <v>321000</v>
      </c>
      <c r="X11" s="74">
        <v>321000</v>
      </c>
      <c r="Y11" s="74">
        <v>11.8</v>
      </c>
      <c r="Z11" s="74">
        <v>1</v>
      </c>
      <c r="AA11" s="74">
        <v>17.399999999999999</v>
      </c>
      <c r="AB11" s="95" t="s">
        <v>494</v>
      </c>
      <c r="AC11" s="95">
        <v>9390</v>
      </c>
      <c r="AD11" s="74">
        <v>9390</v>
      </c>
      <c r="AE11" s="74">
        <v>0</v>
      </c>
    </row>
    <row r="12" spans="1:32">
      <c r="A12" s="74" t="s">
        <v>709</v>
      </c>
      <c r="B12" s="74">
        <v>50</v>
      </c>
      <c r="C12" s="95">
        <v>350</v>
      </c>
      <c r="D12" s="95">
        <v>350</v>
      </c>
      <c r="E12" s="74">
        <v>50</v>
      </c>
      <c r="F12" s="74">
        <v>2.5</v>
      </c>
      <c r="G12" s="74">
        <v>2.5</v>
      </c>
      <c r="H12" s="95" t="s">
        <v>704</v>
      </c>
      <c r="I12" s="74">
        <v>3.6</v>
      </c>
      <c r="J12" s="74">
        <v>0.191</v>
      </c>
      <c r="K12" s="74">
        <v>53.1</v>
      </c>
      <c r="L12" s="74">
        <v>18</v>
      </c>
      <c r="M12" s="74">
        <v>459</v>
      </c>
      <c r="N12" s="74">
        <v>169000</v>
      </c>
      <c r="O12" s="74">
        <v>169000</v>
      </c>
      <c r="P12" s="74">
        <v>6780</v>
      </c>
      <c r="Q12" s="74">
        <v>6780</v>
      </c>
      <c r="R12" s="74">
        <v>5.09</v>
      </c>
      <c r="S12" s="74">
        <v>8070</v>
      </c>
      <c r="T12" s="74">
        <v>8070</v>
      </c>
      <c r="U12" s="74">
        <v>19.2</v>
      </c>
      <c r="V12" s="74">
        <v>19.2</v>
      </c>
      <c r="W12" s="74">
        <v>275000</v>
      </c>
      <c r="X12" s="74">
        <v>275000</v>
      </c>
      <c r="Y12" s="74">
        <v>10.199999999999999</v>
      </c>
      <c r="Z12" s="74">
        <v>1</v>
      </c>
      <c r="AA12" s="74">
        <v>21.3</v>
      </c>
      <c r="AB12" s="95" t="s">
        <v>494</v>
      </c>
      <c r="AC12" s="95">
        <v>8070</v>
      </c>
      <c r="AD12" s="74">
        <v>8070</v>
      </c>
      <c r="AE12" s="74">
        <v>0</v>
      </c>
    </row>
    <row r="13" spans="1:32">
      <c r="A13" s="74" t="s">
        <v>710</v>
      </c>
      <c r="B13" s="74">
        <v>50</v>
      </c>
      <c r="C13" s="95">
        <v>350</v>
      </c>
      <c r="D13" s="95">
        <v>350</v>
      </c>
      <c r="E13" s="74">
        <v>50</v>
      </c>
      <c r="F13" s="74">
        <v>2</v>
      </c>
      <c r="G13" s="74">
        <v>2</v>
      </c>
      <c r="H13" s="95" t="s">
        <v>704</v>
      </c>
      <c r="I13" s="74">
        <v>2.93</v>
      </c>
      <c r="J13" s="74">
        <v>0.193</v>
      </c>
      <c r="K13" s="74">
        <v>65.8</v>
      </c>
      <c r="L13" s="74">
        <v>23</v>
      </c>
      <c r="M13" s="74">
        <v>374</v>
      </c>
      <c r="N13" s="74">
        <v>141000</v>
      </c>
      <c r="O13" s="74">
        <v>141000</v>
      </c>
      <c r="P13" s="74">
        <v>5660</v>
      </c>
      <c r="Q13" s="74">
        <v>5660</v>
      </c>
      <c r="R13" s="74">
        <v>4.2</v>
      </c>
      <c r="S13" s="74">
        <v>6660</v>
      </c>
      <c r="T13" s="74">
        <v>6660</v>
      </c>
      <c r="U13" s="74">
        <v>19.5</v>
      </c>
      <c r="V13" s="74">
        <v>19.5</v>
      </c>
      <c r="W13" s="74">
        <v>226000</v>
      </c>
      <c r="X13" s="74">
        <v>226000</v>
      </c>
      <c r="Y13" s="74">
        <v>8.51</v>
      </c>
      <c r="Z13" s="74">
        <v>1</v>
      </c>
      <c r="AA13" s="74">
        <v>27.2</v>
      </c>
      <c r="AB13" s="95" t="s">
        <v>494</v>
      </c>
      <c r="AC13" s="95">
        <v>6660</v>
      </c>
      <c r="AD13" s="74">
        <v>6660</v>
      </c>
      <c r="AE13" s="74">
        <v>0</v>
      </c>
    </row>
    <row r="14" spans="1:32">
      <c r="A14" s="74" t="s">
        <v>711</v>
      </c>
      <c r="B14" s="74">
        <v>50</v>
      </c>
      <c r="C14" s="95">
        <v>350</v>
      </c>
      <c r="D14" s="95">
        <v>350</v>
      </c>
      <c r="E14" s="74">
        <v>50</v>
      </c>
      <c r="F14" s="74">
        <v>1.6</v>
      </c>
      <c r="G14" s="74">
        <v>1.6</v>
      </c>
      <c r="H14" s="95" t="s">
        <v>704</v>
      </c>
      <c r="I14" s="74">
        <v>2.38</v>
      </c>
      <c r="J14" s="74">
        <v>0.19500000000000001</v>
      </c>
      <c r="K14" s="74">
        <v>81.7</v>
      </c>
      <c r="L14" s="74">
        <v>29.3</v>
      </c>
      <c r="M14" s="74">
        <v>303</v>
      </c>
      <c r="N14" s="74">
        <v>117000</v>
      </c>
      <c r="O14" s="74">
        <v>117000</v>
      </c>
      <c r="P14" s="74">
        <v>4680</v>
      </c>
      <c r="Q14" s="74">
        <v>4680</v>
      </c>
      <c r="R14" s="74">
        <v>3.44</v>
      </c>
      <c r="S14" s="74">
        <v>5460</v>
      </c>
      <c r="T14" s="74">
        <v>5460</v>
      </c>
      <c r="U14" s="74">
        <v>19.600000000000001</v>
      </c>
      <c r="V14" s="74">
        <v>19.600000000000001</v>
      </c>
      <c r="W14" s="74">
        <v>185000</v>
      </c>
      <c r="X14" s="74">
        <v>185000</v>
      </c>
      <c r="Y14" s="74">
        <v>7.03</v>
      </c>
      <c r="Z14" s="74">
        <v>1</v>
      </c>
      <c r="AA14" s="74">
        <v>34.6</v>
      </c>
      <c r="AB14" s="95" t="s">
        <v>495</v>
      </c>
      <c r="AC14" s="95">
        <v>5100</v>
      </c>
      <c r="AD14" s="74">
        <v>5100</v>
      </c>
      <c r="AE14" s="74">
        <v>0</v>
      </c>
    </row>
    <row r="15" spans="1:32">
      <c r="A15" s="74" t="s">
        <v>712</v>
      </c>
      <c r="B15" s="74">
        <v>40</v>
      </c>
      <c r="C15" s="95">
        <v>350</v>
      </c>
      <c r="D15" s="95">
        <v>350</v>
      </c>
      <c r="E15" s="74">
        <v>40</v>
      </c>
      <c r="F15" s="74">
        <v>4</v>
      </c>
      <c r="G15" s="74">
        <v>4</v>
      </c>
      <c r="H15" s="95" t="s">
        <v>704</v>
      </c>
      <c r="I15" s="74">
        <v>4.09</v>
      </c>
      <c r="J15" s="74">
        <v>0.14299999999999999</v>
      </c>
      <c r="K15" s="74">
        <v>34.9</v>
      </c>
      <c r="L15" s="74">
        <v>8</v>
      </c>
      <c r="M15" s="74">
        <v>521</v>
      </c>
      <c r="N15" s="74">
        <v>105000</v>
      </c>
      <c r="O15" s="74">
        <v>105000</v>
      </c>
      <c r="P15" s="74">
        <v>5260</v>
      </c>
      <c r="Q15" s="74">
        <v>5260</v>
      </c>
      <c r="R15" s="74">
        <v>4.3600000000000003</v>
      </c>
      <c r="S15" s="74">
        <v>6740</v>
      </c>
      <c r="T15" s="74">
        <v>6740</v>
      </c>
      <c r="U15" s="74">
        <v>14.2</v>
      </c>
      <c r="V15" s="74">
        <v>14.2</v>
      </c>
      <c r="W15" s="74">
        <v>192000</v>
      </c>
      <c r="X15" s="74">
        <v>192000</v>
      </c>
      <c r="Y15" s="74">
        <v>8.33</v>
      </c>
      <c r="Z15" s="74">
        <v>1</v>
      </c>
      <c r="AA15" s="74">
        <v>9.4700000000000006</v>
      </c>
      <c r="AB15" s="95" t="s">
        <v>494</v>
      </c>
      <c r="AC15" s="95">
        <v>6740</v>
      </c>
      <c r="AD15" s="74">
        <v>6740</v>
      </c>
      <c r="AE15" s="74">
        <v>0</v>
      </c>
    </row>
    <row r="16" spans="1:32">
      <c r="A16" s="74" t="s">
        <v>713</v>
      </c>
      <c r="B16" s="74">
        <v>40</v>
      </c>
      <c r="C16" s="95">
        <v>350</v>
      </c>
      <c r="D16" s="95">
        <v>350</v>
      </c>
      <c r="E16" s="74">
        <v>40</v>
      </c>
      <c r="F16" s="74">
        <v>3</v>
      </c>
      <c r="G16" s="74">
        <v>3</v>
      </c>
      <c r="H16" s="95" t="s">
        <v>704</v>
      </c>
      <c r="I16" s="74">
        <v>3.3</v>
      </c>
      <c r="J16" s="74">
        <v>0.15</v>
      </c>
      <c r="K16" s="74">
        <v>45.3</v>
      </c>
      <c r="L16" s="74">
        <v>11.3</v>
      </c>
      <c r="M16" s="74">
        <v>421</v>
      </c>
      <c r="N16" s="74">
        <v>93200</v>
      </c>
      <c r="O16" s="74">
        <v>93200</v>
      </c>
      <c r="P16" s="74">
        <v>4660</v>
      </c>
      <c r="Q16" s="74">
        <v>4660</v>
      </c>
      <c r="R16" s="74">
        <v>3.61</v>
      </c>
      <c r="S16" s="74">
        <v>5720</v>
      </c>
      <c r="T16" s="74">
        <v>5720</v>
      </c>
      <c r="U16" s="74">
        <v>14.9</v>
      </c>
      <c r="V16" s="74">
        <v>14.9</v>
      </c>
      <c r="W16" s="74">
        <v>158000</v>
      </c>
      <c r="X16" s="74">
        <v>158000</v>
      </c>
      <c r="Y16" s="74">
        <v>7.07</v>
      </c>
      <c r="Z16" s="74">
        <v>1</v>
      </c>
      <c r="AA16" s="74">
        <v>13.4</v>
      </c>
      <c r="AB16" s="95" t="s">
        <v>494</v>
      </c>
      <c r="AC16" s="95">
        <v>5720</v>
      </c>
      <c r="AD16" s="74">
        <v>5720</v>
      </c>
      <c r="AE16" s="74">
        <v>0</v>
      </c>
    </row>
    <row r="17" spans="1:31">
      <c r="A17" s="74" t="s">
        <v>714</v>
      </c>
      <c r="B17" s="74">
        <v>40</v>
      </c>
      <c r="C17" s="95">
        <v>350</v>
      </c>
      <c r="D17" s="95">
        <v>350</v>
      </c>
      <c r="E17" s="74">
        <v>40</v>
      </c>
      <c r="F17" s="74">
        <v>2.5</v>
      </c>
      <c r="G17" s="74">
        <v>2.5</v>
      </c>
      <c r="H17" s="95" t="s">
        <v>704</v>
      </c>
      <c r="I17" s="74">
        <v>2.82</v>
      </c>
      <c r="J17" s="74">
        <v>0.151</v>
      </c>
      <c r="K17" s="74">
        <v>53.7</v>
      </c>
      <c r="L17" s="74">
        <v>14</v>
      </c>
      <c r="M17" s="74">
        <v>359</v>
      </c>
      <c r="N17" s="74">
        <v>82200</v>
      </c>
      <c r="O17" s="74">
        <v>82200</v>
      </c>
      <c r="P17" s="74">
        <v>4110</v>
      </c>
      <c r="Q17" s="74">
        <v>4110</v>
      </c>
      <c r="R17" s="74">
        <v>3.13</v>
      </c>
      <c r="S17" s="74">
        <v>4970</v>
      </c>
      <c r="T17" s="74">
        <v>4970</v>
      </c>
      <c r="U17" s="74">
        <v>15.1</v>
      </c>
      <c r="V17" s="74">
        <v>15.1</v>
      </c>
      <c r="W17" s="74">
        <v>136000</v>
      </c>
      <c r="X17" s="74">
        <v>136000</v>
      </c>
      <c r="Y17" s="74">
        <v>6.21</v>
      </c>
      <c r="Z17" s="74">
        <v>1</v>
      </c>
      <c r="AA17" s="74">
        <v>16.600000000000001</v>
      </c>
      <c r="AB17" s="95" t="s">
        <v>494</v>
      </c>
      <c r="AC17" s="95">
        <v>4970</v>
      </c>
      <c r="AD17" s="74">
        <v>4970</v>
      </c>
      <c r="AE17" s="74">
        <v>0</v>
      </c>
    </row>
    <row r="18" spans="1:31">
      <c r="A18" s="74" t="s">
        <v>715</v>
      </c>
      <c r="B18" s="74">
        <v>40</v>
      </c>
      <c r="C18" s="95">
        <v>350</v>
      </c>
      <c r="D18" s="95">
        <v>350</v>
      </c>
      <c r="E18" s="74">
        <v>40</v>
      </c>
      <c r="F18" s="74">
        <v>2</v>
      </c>
      <c r="G18" s="74">
        <v>2</v>
      </c>
      <c r="H18" s="95" t="s">
        <v>704</v>
      </c>
      <c r="I18" s="74">
        <v>2.31</v>
      </c>
      <c r="J18" s="74">
        <v>0.153</v>
      </c>
      <c r="K18" s="74">
        <v>66.400000000000006</v>
      </c>
      <c r="L18" s="74">
        <v>18</v>
      </c>
      <c r="M18" s="74">
        <v>294</v>
      </c>
      <c r="N18" s="74">
        <v>69400</v>
      </c>
      <c r="O18" s="74">
        <v>69400</v>
      </c>
      <c r="P18" s="74">
        <v>3470</v>
      </c>
      <c r="Q18" s="74">
        <v>3470</v>
      </c>
      <c r="R18" s="74">
        <v>2.61</v>
      </c>
      <c r="S18" s="74">
        <v>4130</v>
      </c>
      <c r="T18" s="74">
        <v>4130</v>
      </c>
      <c r="U18" s="74">
        <v>15.4</v>
      </c>
      <c r="V18" s="74">
        <v>15.4</v>
      </c>
      <c r="W18" s="74">
        <v>113000</v>
      </c>
      <c r="X18" s="74">
        <v>113000</v>
      </c>
      <c r="Y18" s="74">
        <v>5.23</v>
      </c>
      <c r="Z18" s="74">
        <v>1</v>
      </c>
      <c r="AA18" s="74">
        <v>21.3</v>
      </c>
      <c r="AB18" s="95" t="s">
        <v>494</v>
      </c>
      <c r="AC18" s="95">
        <v>4130</v>
      </c>
      <c r="AD18" s="74">
        <v>4130</v>
      </c>
      <c r="AE18" s="74">
        <v>0</v>
      </c>
    </row>
    <row r="19" spans="1:31">
      <c r="A19" s="74" t="s">
        <v>716</v>
      </c>
      <c r="B19" s="74">
        <v>40</v>
      </c>
      <c r="C19" s="95">
        <v>350</v>
      </c>
      <c r="D19" s="95">
        <v>350</v>
      </c>
      <c r="E19" s="74">
        <v>40</v>
      </c>
      <c r="F19" s="74">
        <v>1.6</v>
      </c>
      <c r="G19" s="74">
        <v>1.6</v>
      </c>
      <c r="H19" s="95" t="s">
        <v>704</v>
      </c>
      <c r="I19" s="74">
        <v>1.88</v>
      </c>
      <c r="J19" s="74">
        <v>0.155</v>
      </c>
      <c r="K19" s="74">
        <v>82.3</v>
      </c>
      <c r="L19" s="74">
        <v>23</v>
      </c>
      <c r="M19" s="74">
        <v>239</v>
      </c>
      <c r="N19" s="74">
        <v>57900</v>
      </c>
      <c r="O19" s="74">
        <v>57900</v>
      </c>
      <c r="P19" s="74">
        <v>2900</v>
      </c>
      <c r="Q19" s="74">
        <v>2900</v>
      </c>
      <c r="R19" s="74">
        <v>2.15</v>
      </c>
      <c r="S19" s="74">
        <v>3410</v>
      </c>
      <c r="T19" s="74">
        <v>3410</v>
      </c>
      <c r="U19" s="74">
        <v>15.6</v>
      </c>
      <c r="V19" s="74">
        <v>15.6</v>
      </c>
      <c r="W19" s="74">
        <v>92700</v>
      </c>
      <c r="X19" s="74">
        <v>92700</v>
      </c>
      <c r="Y19" s="74">
        <v>4.3600000000000003</v>
      </c>
      <c r="Z19" s="74">
        <v>1</v>
      </c>
      <c r="AA19" s="74">
        <v>27.2</v>
      </c>
      <c r="AB19" s="95" t="s">
        <v>494</v>
      </c>
      <c r="AC19" s="95">
        <v>3410</v>
      </c>
      <c r="AD19" s="74">
        <v>3410</v>
      </c>
      <c r="AE19" s="74">
        <v>0</v>
      </c>
    </row>
    <row r="20" spans="1:31">
      <c r="A20" s="74" t="s">
        <v>717</v>
      </c>
      <c r="B20" s="74">
        <v>35</v>
      </c>
      <c r="C20" s="95">
        <v>350</v>
      </c>
      <c r="D20" s="95">
        <v>350</v>
      </c>
      <c r="E20" s="74">
        <v>35</v>
      </c>
      <c r="F20" s="74">
        <v>3</v>
      </c>
      <c r="G20" s="74">
        <v>3</v>
      </c>
      <c r="H20" s="95" t="s">
        <v>704</v>
      </c>
      <c r="I20" s="74">
        <v>2.83</v>
      </c>
      <c r="J20" s="74">
        <v>0.13</v>
      </c>
      <c r="K20" s="74">
        <v>45.8</v>
      </c>
      <c r="L20" s="74">
        <v>9.67</v>
      </c>
      <c r="M20" s="74">
        <v>361</v>
      </c>
      <c r="N20" s="74">
        <v>59500</v>
      </c>
      <c r="O20" s="74">
        <v>59500</v>
      </c>
      <c r="P20" s="74">
        <v>3400</v>
      </c>
      <c r="Q20" s="74">
        <v>3400</v>
      </c>
      <c r="R20" s="74">
        <v>2.67</v>
      </c>
      <c r="S20" s="74">
        <v>4230</v>
      </c>
      <c r="T20" s="74">
        <v>4230</v>
      </c>
      <c r="U20" s="74">
        <v>12.8</v>
      </c>
      <c r="V20" s="74">
        <v>12.8</v>
      </c>
      <c r="W20" s="74">
        <v>102000</v>
      </c>
      <c r="X20" s="74">
        <v>102000</v>
      </c>
      <c r="Y20" s="74">
        <v>5.18</v>
      </c>
      <c r="Z20" s="74">
        <v>1</v>
      </c>
      <c r="AA20" s="74">
        <v>11.4</v>
      </c>
      <c r="AB20" s="95" t="s">
        <v>494</v>
      </c>
      <c r="AC20" s="95">
        <v>4230</v>
      </c>
      <c r="AD20" s="74">
        <v>4230</v>
      </c>
      <c r="AE20" s="74">
        <v>0</v>
      </c>
    </row>
    <row r="21" spans="1:31">
      <c r="A21" s="74" t="s">
        <v>718</v>
      </c>
      <c r="B21" s="74">
        <v>35</v>
      </c>
      <c r="C21" s="95">
        <v>350</v>
      </c>
      <c r="D21" s="95">
        <v>350</v>
      </c>
      <c r="E21" s="74">
        <v>35</v>
      </c>
      <c r="F21" s="74">
        <v>2.5</v>
      </c>
      <c r="G21" s="74">
        <v>2.5</v>
      </c>
      <c r="H21" s="95" t="s">
        <v>704</v>
      </c>
      <c r="I21" s="74">
        <v>2.42</v>
      </c>
      <c r="J21" s="74">
        <v>0.13100000000000001</v>
      </c>
      <c r="K21" s="74">
        <v>54.2</v>
      </c>
      <c r="L21" s="74">
        <v>12</v>
      </c>
      <c r="M21" s="74">
        <v>309</v>
      </c>
      <c r="N21" s="74">
        <v>52900</v>
      </c>
      <c r="O21" s="74">
        <v>52900</v>
      </c>
      <c r="P21" s="74">
        <v>3020</v>
      </c>
      <c r="Q21" s="74">
        <v>3020</v>
      </c>
      <c r="R21" s="74">
        <v>2.33</v>
      </c>
      <c r="S21" s="74">
        <v>3690</v>
      </c>
      <c r="T21" s="74">
        <v>3690</v>
      </c>
      <c r="U21" s="74">
        <v>13.1</v>
      </c>
      <c r="V21" s="74">
        <v>13.1</v>
      </c>
      <c r="W21" s="74">
        <v>88900</v>
      </c>
      <c r="X21" s="74">
        <v>88900</v>
      </c>
      <c r="Y21" s="74">
        <v>4.58</v>
      </c>
      <c r="Z21" s="74">
        <v>1</v>
      </c>
      <c r="AA21" s="74">
        <v>14.2</v>
      </c>
      <c r="AB21" s="95" t="s">
        <v>494</v>
      </c>
      <c r="AC21" s="95">
        <v>3690</v>
      </c>
      <c r="AD21" s="74">
        <v>3690</v>
      </c>
      <c r="AE21" s="74">
        <v>0</v>
      </c>
    </row>
    <row r="22" spans="1:31">
      <c r="A22" s="74" t="s">
        <v>719</v>
      </c>
      <c r="B22" s="74">
        <v>35</v>
      </c>
      <c r="C22" s="95">
        <v>350</v>
      </c>
      <c r="D22" s="95">
        <v>350</v>
      </c>
      <c r="E22" s="74">
        <v>35</v>
      </c>
      <c r="F22" s="74">
        <v>2</v>
      </c>
      <c r="G22" s="74">
        <v>2</v>
      </c>
      <c r="H22" s="95" t="s">
        <v>704</v>
      </c>
      <c r="I22" s="74">
        <v>1.99</v>
      </c>
      <c r="J22" s="74">
        <v>0.13300000000000001</v>
      </c>
      <c r="K22" s="74">
        <v>66.8</v>
      </c>
      <c r="L22" s="74">
        <v>15.5</v>
      </c>
      <c r="M22" s="74">
        <v>254</v>
      </c>
      <c r="N22" s="74">
        <v>45100</v>
      </c>
      <c r="O22" s="74">
        <v>45100</v>
      </c>
      <c r="P22" s="74">
        <v>2580</v>
      </c>
      <c r="Q22" s="74">
        <v>2580</v>
      </c>
      <c r="R22" s="74">
        <v>1.95</v>
      </c>
      <c r="S22" s="74">
        <v>3090</v>
      </c>
      <c r="T22" s="74">
        <v>3090</v>
      </c>
      <c r="U22" s="74">
        <v>13.3</v>
      </c>
      <c r="V22" s="74">
        <v>13.3</v>
      </c>
      <c r="W22" s="74">
        <v>74100</v>
      </c>
      <c r="X22" s="74">
        <v>74100</v>
      </c>
      <c r="Y22" s="74">
        <v>3.89</v>
      </c>
      <c r="Z22" s="74">
        <v>1</v>
      </c>
      <c r="AA22" s="74">
        <v>18.3</v>
      </c>
      <c r="AB22" s="95" t="s">
        <v>494</v>
      </c>
      <c r="AC22" s="95">
        <v>3090</v>
      </c>
      <c r="AD22" s="74">
        <v>3090</v>
      </c>
      <c r="AE22" s="74">
        <v>0</v>
      </c>
    </row>
    <row r="23" spans="1:31">
      <c r="A23" s="74" t="s">
        <v>720</v>
      </c>
      <c r="B23" s="74">
        <v>35</v>
      </c>
      <c r="C23" s="95">
        <v>350</v>
      </c>
      <c r="D23" s="95">
        <v>350</v>
      </c>
      <c r="E23" s="74">
        <v>35</v>
      </c>
      <c r="F23" s="74">
        <v>1.6</v>
      </c>
      <c r="G23" s="74">
        <v>1.6</v>
      </c>
      <c r="H23" s="95" t="s">
        <v>704</v>
      </c>
      <c r="I23" s="74">
        <v>1.63</v>
      </c>
      <c r="J23" s="74">
        <v>0.13500000000000001</v>
      </c>
      <c r="K23" s="74">
        <v>82.7</v>
      </c>
      <c r="L23" s="74">
        <v>19.899999999999999</v>
      </c>
      <c r="M23" s="74">
        <v>207</v>
      </c>
      <c r="N23" s="74">
        <v>37900</v>
      </c>
      <c r="O23" s="74">
        <v>37900</v>
      </c>
      <c r="P23" s="74">
        <v>2160</v>
      </c>
      <c r="Q23" s="74">
        <v>2160</v>
      </c>
      <c r="R23" s="74">
        <v>1.62</v>
      </c>
      <c r="S23" s="74">
        <v>2570</v>
      </c>
      <c r="T23" s="74">
        <v>2570</v>
      </c>
      <c r="U23" s="74">
        <v>13.5</v>
      </c>
      <c r="V23" s="74">
        <v>13.5</v>
      </c>
      <c r="W23" s="74">
        <v>61100</v>
      </c>
      <c r="X23" s="74">
        <v>61100</v>
      </c>
      <c r="Y23" s="74">
        <v>3.26</v>
      </c>
      <c r="Z23" s="74">
        <v>1</v>
      </c>
      <c r="AA23" s="74">
        <v>23.5</v>
      </c>
      <c r="AB23" s="95" t="s">
        <v>494</v>
      </c>
      <c r="AC23" s="95">
        <v>2570</v>
      </c>
      <c r="AD23" s="74">
        <v>2570</v>
      </c>
      <c r="AE23" s="74">
        <v>0</v>
      </c>
    </row>
    <row r="24" spans="1:31">
      <c r="A24" s="74" t="s">
        <v>721</v>
      </c>
      <c r="B24" s="74">
        <v>30</v>
      </c>
      <c r="C24" s="95">
        <v>350</v>
      </c>
      <c r="D24" s="95">
        <v>350</v>
      </c>
      <c r="E24" s="74">
        <v>30</v>
      </c>
      <c r="F24" s="74">
        <v>3</v>
      </c>
      <c r="G24" s="74">
        <v>3</v>
      </c>
      <c r="H24" s="95" t="s">
        <v>704</v>
      </c>
      <c r="I24" s="74">
        <v>2.36</v>
      </c>
      <c r="J24" s="74">
        <v>0.11</v>
      </c>
      <c r="K24" s="74">
        <v>46.5</v>
      </c>
      <c r="L24" s="74">
        <v>8</v>
      </c>
      <c r="M24" s="74">
        <v>301</v>
      </c>
      <c r="N24" s="74">
        <v>35000</v>
      </c>
      <c r="O24" s="74">
        <v>35000</v>
      </c>
      <c r="P24" s="74">
        <v>2340</v>
      </c>
      <c r="Q24" s="74">
        <v>2340</v>
      </c>
      <c r="R24" s="74">
        <v>1.87</v>
      </c>
      <c r="S24" s="74">
        <v>2960</v>
      </c>
      <c r="T24" s="74">
        <v>2960</v>
      </c>
      <c r="U24" s="74">
        <v>10.8</v>
      </c>
      <c r="V24" s="74">
        <v>10.8</v>
      </c>
      <c r="W24" s="74">
        <v>61500</v>
      </c>
      <c r="X24" s="74">
        <v>61500</v>
      </c>
      <c r="Y24" s="74">
        <v>3.58</v>
      </c>
      <c r="Z24" s="74">
        <v>1</v>
      </c>
      <c r="AA24" s="74">
        <v>9.4700000000000006</v>
      </c>
      <c r="AB24" s="95" t="s">
        <v>494</v>
      </c>
      <c r="AC24" s="95">
        <v>2960</v>
      </c>
      <c r="AD24" s="74">
        <v>2960</v>
      </c>
      <c r="AE24" s="74">
        <v>0</v>
      </c>
    </row>
    <row r="25" spans="1:31">
      <c r="A25" s="74" t="s">
        <v>722</v>
      </c>
      <c r="B25" s="74">
        <v>30</v>
      </c>
      <c r="C25" s="95">
        <v>350</v>
      </c>
      <c r="D25" s="95">
        <v>350</v>
      </c>
      <c r="E25" s="74">
        <v>30</v>
      </c>
      <c r="F25" s="74">
        <v>2.5</v>
      </c>
      <c r="G25" s="74">
        <v>2.5</v>
      </c>
      <c r="H25" s="95" t="s">
        <v>704</v>
      </c>
      <c r="I25" s="74">
        <v>2.0299999999999998</v>
      </c>
      <c r="J25" s="74">
        <v>0.111</v>
      </c>
      <c r="K25" s="74">
        <v>54.8</v>
      </c>
      <c r="L25" s="74">
        <v>10</v>
      </c>
      <c r="M25" s="74">
        <v>259</v>
      </c>
      <c r="N25" s="74">
        <v>31600.000000000004</v>
      </c>
      <c r="O25" s="74">
        <v>31600.000000000004</v>
      </c>
      <c r="P25" s="74">
        <v>2100</v>
      </c>
      <c r="Q25" s="74">
        <v>2100</v>
      </c>
      <c r="R25" s="74">
        <v>1.65</v>
      </c>
      <c r="S25" s="74">
        <v>2610</v>
      </c>
      <c r="T25" s="74">
        <v>2610</v>
      </c>
      <c r="U25" s="74">
        <v>11</v>
      </c>
      <c r="V25" s="74">
        <v>11</v>
      </c>
      <c r="W25" s="74">
        <v>54000</v>
      </c>
      <c r="X25" s="74">
        <v>54000</v>
      </c>
      <c r="Y25" s="74">
        <v>3.2</v>
      </c>
      <c r="Z25" s="74">
        <v>1</v>
      </c>
      <c r="AA25" s="74">
        <v>11.8</v>
      </c>
      <c r="AB25" s="95" t="s">
        <v>494</v>
      </c>
      <c r="AC25" s="95">
        <v>2610</v>
      </c>
      <c r="AD25" s="74">
        <v>2610</v>
      </c>
      <c r="AE25" s="74">
        <v>0</v>
      </c>
    </row>
    <row r="26" spans="1:31">
      <c r="A26" s="74" t="s">
        <v>723</v>
      </c>
      <c r="B26" s="74">
        <v>30</v>
      </c>
      <c r="C26" s="95">
        <v>350</v>
      </c>
      <c r="D26" s="95">
        <v>350</v>
      </c>
      <c r="E26" s="74">
        <v>30</v>
      </c>
      <c r="F26" s="74">
        <v>2</v>
      </c>
      <c r="G26" s="74">
        <v>2</v>
      </c>
      <c r="H26" s="95" t="s">
        <v>704</v>
      </c>
      <c r="I26" s="74">
        <v>1.68</v>
      </c>
      <c r="J26" s="74">
        <v>0.113</v>
      </c>
      <c r="K26" s="74">
        <v>67.400000000000006</v>
      </c>
      <c r="L26" s="74">
        <v>13</v>
      </c>
      <c r="M26" s="74">
        <v>214</v>
      </c>
      <c r="N26" s="74">
        <v>27200</v>
      </c>
      <c r="O26" s="74">
        <v>27200</v>
      </c>
      <c r="P26" s="74">
        <v>1810</v>
      </c>
      <c r="Q26" s="74">
        <v>1810</v>
      </c>
      <c r="R26" s="74">
        <v>1.39</v>
      </c>
      <c r="S26" s="74">
        <v>2210</v>
      </c>
      <c r="T26" s="74">
        <v>2210</v>
      </c>
      <c r="U26" s="74">
        <v>11.3</v>
      </c>
      <c r="V26" s="74">
        <v>11.3</v>
      </c>
      <c r="W26" s="74">
        <v>45400</v>
      </c>
      <c r="X26" s="74">
        <v>45400</v>
      </c>
      <c r="Y26" s="74">
        <v>2.75</v>
      </c>
      <c r="Z26" s="74">
        <v>1</v>
      </c>
      <c r="AA26" s="74">
        <v>15.4</v>
      </c>
      <c r="AB26" s="95" t="s">
        <v>494</v>
      </c>
      <c r="AC26" s="95">
        <v>2210</v>
      </c>
      <c r="AD26" s="74">
        <v>2210</v>
      </c>
      <c r="AE26" s="74">
        <v>0</v>
      </c>
    </row>
    <row r="27" spans="1:31">
      <c r="A27" s="74" t="s">
        <v>724</v>
      </c>
      <c r="B27" s="74">
        <v>30</v>
      </c>
      <c r="C27" s="95">
        <v>350</v>
      </c>
      <c r="D27" s="95">
        <v>350</v>
      </c>
      <c r="E27" s="74">
        <v>30</v>
      </c>
      <c r="F27" s="74">
        <v>1.6</v>
      </c>
      <c r="G27" s="74">
        <v>1.6</v>
      </c>
      <c r="H27" s="95" t="s">
        <v>704</v>
      </c>
      <c r="I27" s="74">
        <v>1.38</v>
      </c>
      <c r="J27" s="74">
        <v>0.115</v>
      </c>
      <c r="K27" s="74">
        <v>83.3</v>
      </c>
      <c r="L27" s="74">
        <v>16.8</v>
      </c>
      <c r="M27" s="74">
        <v>175</v>
      </c>
      <c r="N27" s="74">
        <v>23100</v>
      </c>
      <c r="O27" s="74">
        <v>23100</v>
      </c>
      <c r="P27" s="74">
        <v>1540</v>
      </c>
      <c r="Q27" s="74">
        <v>1540</v>
      </c>
      <c r="R27" s="74">
        <v>1.1599999999999999</v>
      </c>
      <c r="S27" s="74">
        <v>1840</v>
      </c>
      <c r="T27" s="74">
        <v>1840</v>
      </c>
      <c r="U27" s="74">
        <v>11.5</v>
      </c>
      <c r="V27" s="74">
        <v>11.5</v>
      </c>
      <c r="W27" s="74">
        <v>37700</v>
      </c>
      <c r="X27" s="74">
        <v>37700</v>
      </c>
      <c r="Y27" s="74">
        <v>2.3199999999999998</v>
      </c>
      <c r="Z27" s="74">
        <v>1</v>
      </c>
      <c r="AA27" s="74">
        <v>19.8</v>
      </c>
      <c r="AB27" s="95" t="s">
        <v>494</v>
      </c>
      <c r="AC27" s="95">
        <v>1840</v>
      </c>
      <c r="AD27" s="74">
        <v>1840</v>
      </c>
      <c r="AE27" s="74">
        <v>0</v>
      </c>
    </row>
    <row r="28" spans="1:31">
      <c r="A28" s="74" t="s">
        <v>725</v>
      </c>
      <c r="B28" s="74">
        <v>25</v>
      </c>
      <c r="C28" s="95">
        <v>350</v>
      </c>
      <c r="D28" s="95">
        <v>350</v>
      </c>
      <c r="E28" s="74">
        <v>25</v>
      </c>
      <c r="F28" s="74">
        <v>3</v>
      </c>
      <c r="G28" s="74">
        <v>3</v>
      </c>
      <c r="H28" s="95" t="s">
        <v>704</v>
      </c>
      <c r="I28" s="74">
        <v>1.89</v>
      </c>
      <c r="J28" s="74">
        <v>8.9700000000000002E-2</v>
      </c>
      <c r="K28" s="74">
        <v>47.4</v>
      </c>
      <c r="L28" s="74">
        <v>6.33</v>
      </c>
      <c r="M28" s="74">
        <v>241</v>
      </c>
      <c r="N28" s="74">
        <v>18400</v>
      </c>
      <c r="O28" s="74">
        <v>18400</v>
      </c>
      <c r="P28" s="74">
        <v>1470</v>
      </c>
      <c r="Q28" s="74">
        <v>1470</v>
      </c>
      <c r="R28" s="74">
        <v>1.21</v>
      </c>
      <c r="S28" s="74">
        <v>1910</v>
      </c>
      <c r="T28" s="74">
        <v>1910</v>
      </c>
      <c r="U28" s="74">
        <v>8.74</v>
      </c>
      <c r="V28" s="74">
        <v>8.74</v>
      </c>
      <c r="W28" s="74">
        <v>33300</v>
      </c>
      <c r="X28" s="74">
        <v>33300</v>
      </c>
      <c r="Y28" s="74">
        <v>2.27</v>
      </c>
      <c r="Z28" s="74">
        <v>1</v>
      </c>
      <c r="AA28" s="74">
        <v>7.49</v>
      </c>
      <c r="AB28" s="95" t="s">
        <v>494</v>
      </c>
      <c r="AC28" s="95">
        <v>1910</v>
      </c>
      <c r="AD28" s="74">
        <v>1910</v>
      </c>
      <c r="AE28" s="74">
        <v>0</v>
      </c>
    </row>
    <row r="29" spans="1:31">
      <c r="A29" s="74" t="s">
        <v>726</v>
      </c>
      <c r="B29" s="74">
        <v>25</v>
      </c>
      <c r="C29" s="95">
        <v>350</v>
      </c>
      <c r="D29" s="95">
        <v>350</v>
      </c>
      <c r="E29" s="74">
        <v>25</v>
      </c>
      <c r="F29" s="74">
        <v>2.5</v>
      </c>
      <c r="G29" s="74">
        <v>2.5</v>
      </c>
      <c r="H29" s="95" t="s">
        <v>704</v>
      </c>
      <c r="I29" s="74">
        <v>1.64</v>
      </c>
      <c r="J29" s="74">
        <v>9.1399999999999995E-2</v>
      </c>
      <c r="K29" s="74">
        <v>55.7</v>
      </c>
      <c r="L29" s="74">
        <v>8</v>
      </c>
      <c r="M29" s="74">
        <v>209</v>
      </c>
      <c r="N29" s="74">
        <v>16900</v>
      </c>
      <c r="O29" s="74">
        <v>16900</v>
      </c>
      <c r="P29" s="74">
        <v>1350</v>
      </c>
      <c r="Q29" s="74">
        <v>1350</v>
      </c>
      <c r="R29" s="74">
        <v>1.08</v>
      </c>
      <c r="S29" s="74">
        <v>1710</v>
      </c>
      <c r="T29" s="74">
        <v>1710</v>
      </c>
      <c r="U29" s="74">
        <v>8.99</v>
      </c>
      <c r="V29" s="74">
        <v>8.99</v>
      </c>
      <c r="W29" s="74">
        <v>29700</v>
      </c>
      <c r="X29" s="74">
        <v>29700</v>
      </c>
      <c r="Y29" s="74">
        <v>2.0699999999999998</v>
      </c>
      <c r="Z29" s="74">
        <v>1</v>
      </c>
      <c r="AA29" s="74">
        <v>9.4700000000000006</v>
      </c>
      <c r="AB29" s="95" t="s">
        <v>494</v>
      </c>
      <c r="AC29" s="95">
        <v>1710</v>
      </c>
      <c r="AD29" s="74">
        <v>1710</v>
      </c>
      <c r="AE29" s="74">
        <v>0</v>
      </c>
    </row>
    <row r="30" spans="1:31">
      <c r="A30" s="74" t="s">
        <v>727</v>
      </c>
      <c r="B30" s="74">
        <v>25</v>
      </c>
      <c r="C30" s="95">
        <v>350</v>
      </c>
      <c r="D30" s="95">
        <v>350</v>
      </c>
      <c r="E30" s="74">
        <v>25</v>
      </c>
      <c r="F30" s="74">
        <v>2</v>
      </c>
      <c r="G30" s="74">
        <v>2</v>
      </c>
      <c r="H30" s="95" t="s">
        <v>704</v>
      </c>
      <c r="I30" s="74">
        <v>1.36</v>
      </c>
      <c r="J30" s="74">
        <v>9.3100000000000002E-2</v>
      </c>
      <c r="K30" s="74">
        <v>68.3</v>
      </c>
      <c r="L30" s="74">
        <v>10.5</v>
      </c>
      <c r="M30" s="74">
        <v>174</v>
      </c>
      <c r="N30" s="74">
        <v>14800</v>
      </c>
      <c r="O30" s="74">
        <v>14800</v>
      </c>
      <c r="P30" s="74">
        <v>1190</v>
      </c>
      <c r="Q30" s="74">
        <v>1190</v>
      </c>
      <c r="R30" s="74">
        <v>0.92600000000000005</v>
      </c>
      <c r="S30" s="74">
        <v>1470</v>
      </c>
      <c r="T30" s="74">
        <v>1470</v>
      </c>
      <c r="U30" s="74">
        <v>9.24</v>
      </c>
      <c r="V30" s="74">
        <v>9.24</v>
      </c>
      <c r="W30" s="74">
        <v>25300</v>
      </c>
      <c r="X30" s="74">
        <v>25300</v>
      </c>
      <c r="Y30" s="74">
        <v>1.8</v>
      </c>
      <c r="Z30" s="74">
        <v>1</v>
      </c>
      <c r="AA30" s="74">
        <v>12.4</v>
      </c>
      <c r="AB30" s="95" t="s">
        <v>494</v>
      </c>
      <c r="AC30" s="95">
        <v>1470</v>
      </c>
      <c r="AD30" s="74">
        <v>1470</v>
      </c>
      <c r="AE30" s="74">
        <v>0</v>
      </c>
    </row>
    <row r="31" spans="1:31">
      <c r="A31" s="74" t="s">
        <v>728</v>
      </c>
      <c r="B31" s="74">
        <v>25</v>
      </c>
      <c r="C31" s="95">
        <v>350</v>
      </c>
      <c r="D31" s="95">
        <v>350</v>
      </c>
      <c r="E31" s="74">
        <v>25</v>
      </c>
      <c r="F31" s="74">
        <v>1.6</v>
      </c>
      <c r="G31" s="74">
        <v>1.6</v>
      </c>
      <c r="H31" s="95" t="s">
        <v>704</v>
      </c>
      <c r="I31" s="74">
        <v>1.1200000000000001</v>
      </c>
      <c r="J31" s="74">
        <v>9.4500000000000001E-2</v>
      </c>
      <c r="K31" s="74">
        <v>84.1</v>
      </c>
      <c r="L31" s="74">
        <v>13.6</v>
      </c>
      <c r="M31" s="74">
        <v>143</v>
      </c>
      <c r="N31" s="74">
        <v>12800</v>
      </c>
      <c r="O31" s="74">
        <v>12800</v>
      </c>
      <c r="P31" s="74">
        <v>1020</v>
      </c>
      <c r="Q31" s="74">
        <v>1020</v>
      </c>
      <c r="R31" s="74">
        <v>0.78</v>
      </c>
      <c r="S31" s="74">
        <v>1240</v>
      </c>
      <c r="T31" s="74">
        <v>1240</v>
      </c>
      <c r="U31" s="74">
        <v>9.44</v>
      </c>
      <c r="V31" s="74">
        <v>9.44</v>
      </c>
      <c r="W31" s="74">
        <v>21200</v>
      </c>
      <c r="X31" s="74">
        <v>21200</v>
      </c>
      <c r="Y31" s="74">
        <v>1.54</v>
      </c>
      <c r="Z31" s="74">
        <v>1</v>
      </c>
      <c r="AA31" s="74">
        <v>16.100000000000001</v>
      </c>
      <c r="AB31" s="95" t="s">
        <v>494</v>
      </c>
      <c r="AC31" s="95">
        <v>1240</v>
      </c>
      <c r="AD31" s="74">
        <v>1240</v>
      </c>
      <c r="AE31" s="74">
        <v>0</v>
      </c>
    </row>
    <row r="32" spans="1:31">
      <c r="A32" s="74" t="s">
        <v>729</v>
      </c>
      <c r="B32" s="74">
        <v>20</v>
      </c>
      <c r="C32" s="95">
        <v>350</v>
      </c>
      <c r="D32" s="95">
        <v>350</v>
      </c>
      <c r="E32" s="74">
        <v>20</v>
      </c>
      <c r="F32" s="74">
        <v>2</v>
      </c>
      <c r="G32" s="74">
        <v>2</v>
      </c>
      <c r="H32" s="95" t="s">
        <v>704</v>
      </c>
      <c r="I32" s="74">
        <v>1.05</v>
      </c>
      <c r="J32" s="74">
        <v>7.3099999999999998E-2</v>
      </c>
      <c r="K32" s="74">
        <v>69.7</v>
      </c>
      <c r="L32" s="74">
        <v>8</v>
      </c>
      <c r="M32" s="74">
        <v>134</v>
      </c>
      <c r="N32" s="74">
        <v>6920</v>
      </c>
      <c r="O32" s="74">
        <v>6920</v>
      </c>
      <c r="P32" s="74">
        <v>692</v>
      </c>
      <c r="Q32" s="74">
        <v>692</v>
      </c>
      <c r="R32" s="74">
        <v>0.55400000000000005</v>
      </c>
      <c r="S32" s="74">
        <v>877</v>
      </c>
      <c r="T32" s="74">
        <v>877</v>
      </c>
      <c r="U32" s="74">
        <v>7.2</v>
      </c>
      <c r="V32" s="74">
        <v>7.2</v>
      </c>
      <c r="W32" s="74">
        <v>12100</v>
      </c>
      <c r="X32" s="74">
        <v>12100</v>
      </c>
      <c r="Y32" s="74">
        <v>1.06</v>
      </c>
      <c r="Z32" s="74">
        <v>1</v>
      </c>
      <c r="AA32" s="74">
        <v>9.4700000000000006</v>
      </c>
      <c r="AB32" s="95" t="s">
        <v>494</v>
      </c>
      <c r="AC32" s="95">
        <v>877</v>
      </c>
      <c r="AD32" s="74">
        <v>877</v>
      </c>
      <c r="AE32" s="74">
        <v>0</v>
      </c>
    </row>
    <row r="33" spans="1:31">
      <c r="A33" s="74" t="s">
        <v>730</v>
      </c>
      <c r="B33" s="74">
        <v>20</v>
      </c>
      <c r="C33" s="95">
        <v>350</v>
      </c>
      <c r="D33" s="95">
        <v>350</v>
      </c>
      <c r="E33" s="74">
        <v>20</v>
      </c>
      <c r="F33" s="74">
        <v>1.6</v>
      </c>
      <c r="G33" s="74">
        <v>1.6</v>
      </c>
      <c r="H33" s="95" t="s">
        <v>704</v>
      </c>
      <c r="I33" s="74">
        <v>0.873</v>
      </c>
      <c r="J33" s="74">
        <v>7.4499999999999997E-2</v>
      </c>
      <c r="K33" s="74">
        <v>85.4</v>
      </c>
      <c r="L33" s="74">
        <v>10.5</v>
      </c>
      <c r="M33" s="74">
        <v>111</v>
      </c>
      <c r="N33" s="74">
        <v>6080</v>
      </c>
      <c r="O33" s="74">
        <v>6080</v>
      </c>
      <c r="P33" s="74">
        <v>608</v>
      </c>
      <c r="Q33" s="74">
        <v>608</v>
      </c>
      <c r="R33" s="74">
        <v>0.47399999999999998</v>
      </c>
      <c r="S33" s="74">
        <v>751</v>
      </c>
      <c r="T33" s="74">
        <v>751</v>
      </c>
      <c r="U33" s="74">
        <v>7.39</v>
      </c>
      <c r="V33" s="74">
        <v>7.39</v>
      </c>
      <c r="W33" s="74">
        <v>10300</v>
      </c>
      <c r="X33" s="74">
        <v>10300</v>
      </c>
      <c r="Y33" s="74">
        <v>0.92400000000000004</v>
      </c>
      <c r="Z33" s="74">
        <v>1</v>
      </c>
      <c r="AA33" s="74">
        <v>12.4</v>
      </c>
      <c r="AB33" s="95" t="s">
        <v>494</v>
      </c>
      <c r="AC33" s="95">
        <v>751</v>
      </c>
      <c r="AD33" s="74">
        <v>751</v>
      </c>
      <c r="AE33" s="74">
        <v>0</v>
      </c>
    </row>
    <row r="34" spans="1:31">
      <c r="A34" s="74" t="s">
        <v>731</v>
      </c>
      <c r="B34" s="74">
        <v>400</v>
      </c>
      <c r="C34" s="95">
        <v>450</v>
      </c>
      <c r="D34" s="95">
        <v>450</v>
      </c>
      <c r="E34" s="74">
        <v>400</v>
      </c>
      <c r="F34" s="74">
        <v>16</v>
      </c>
      <c r="G34" s="74">
        <v>16</v>
      </c>
      <c r="H34" s="95" t="s">
        <v>704</v>
      </c>
      <c r="I34" s="74">
        <v>186</v>
      </c>
      <c r="J34" s="74">
        <v>1.53</v>
      </c>
      <c r="K34" s="74">
        <v>8.23</v>
      </c>
      <c r="L34" s="74">
        <v>23</v>
      </c>
      <c r="M34" s="74">
        <v>23700</v>
      </c>
      <c r="N34" s="74">
        <v>571000000</v>
      </c>
      <c r="O34" s="74">
        <v>571000000</v>
      </c>
      <c r="P34" s="74">
        <v>2850000</v>
      </c>
      <c r="Q34" s="74">
        <v>2850000</v>
      </c>
      <c r="R34" s="74">
        <v>2140</v>
      </c>
      <c r="S34" s="74">
        <v>3370000</v>
      </c>
      <c r="T34" s="74">
        <v>3370000</v>
      </c>
      <c r="U34" s="74">
        <v>155</v>
      </c>
      <c r="V34" s="74">
        <v>155</v>
      </c>
      <c r="W34" s="74">
        <v>930000000</v>
      </c>
      <c r="X34" s="74">
        <v>930000000</v>
      </c>
      <c r="Y34" s="74">
        <v>4350</v>
      </c>
      <c r="Z34" s="74">
        <v>1</v>
      </c>
      <c r="AA34" s="74">
        <v>30.9</v>
      </c>
      <c r="AB34" s="95" t="s">
        <v>495</v>
      </c>
      <c r="AC34" s="95">
        <v>3320000</v>
      </c>
      <c r="AD34" s="74">
        <v>3320000</v>
      </c>
      <c r="AE34" s="74">
        <v>0</v>
      </c>
    </row>
    <row r="35" spans="1:31">
      <c r="A35" s="74" t="s">
        <v>732</v>
      </c>
      <c r="B35" s="74">
        <v>400</v>
      </c>
      <c r="C35" s="95">
        <v>450</v>
      </c>
      <c r="D35" s="95">
        <v>450</v>
      </c>
      <c r="E35" s="74">
        <v>400</v>
      </c>
      <c r="F35" s="74">
        <v>12.5</v>
      </c>
      <c r="G35" s="74">
        <v>12.5</v>
      </c>
      <c r="H35" s="95" t="s">
        <v>704</v>
      </c>
      <c r="I35" s="74">
        <v>148</v>
      </c>
      <c r="J35" s="74">
        <v>1.55</v>
      </c>
      <c r="K35" s="74">
        <v>10.5</v>
      </c>
      <c r="L35" s="74">
        <v>30</v>
      </c>
      <c r="M35" s="74">
        <v>18800</v>
      </c>
      <c r="N35" s="74">
        <v>464000000</v>
      </c>
      <c r="O35" s="74">
        <v>464000000</v>
      </c>
      <c r="P35" s="74">
        <v>2320000</v>
      </c>
      <c r="Q35" s="74">
        <v>2320000</v>
      </c>
      <c r="R35" s="74">
        <v>1720</v>
      </c>
      <c r="S35" s="74">
        <v>2710000</v>
      </c>
      <c r="T35" s="74">
        <v>2710000</v>
      </c>
      <c r="U35" s="74">
        <v>157</v>
      </c>
      <c r="V35" s="74">
        <v>157</v>
      </c>
      <c r="W35" s="74">
        <v>744000000</v>
      </c>
      <c r="X35" s="74">
        <v>744000000</v>
      </c>
      <c r="Y35" s="74">
        <v>3520</v>
      </c>
      <c r="Z35" s="74">
        <v>0.99399999999999999</v>
      </c>
      <c r="AA35" s="74">
        <v>40.200000000000003</v>
      </c>
      <c r="AB35" s="95" t="s">
        <v>496</v>
      </c>
      <c r="AC35" s="95">
        <v>2310000</v>
      </c>
      <c r="AD35" s="74">
        <v>2310000</v>
      </c>
      <c r="AE35" s="74">
        <v>0</v>
      </c>
    </row>
    <row r="36" spans="1:31">
      <c r="A36" s="74" t="s">
        <v>733</v>
      </c>
      <c r="B36" s="74">
        <v>400</v>
      </c>
      <c r="C36" s="95">
        <v>450</v>
      </c>
      <c r="D36" s="95">
        <v>450</v>
      </c>
      <c r="E36" s="74">
        <v>400</v>
      </c>
      <c r="F36" s="74">
        <v>10</v>
      </c>
      <c r="G36" s="74">
        <v>10</v>
      </c>
      <c r="H36" s="95" t="s">
        <v>704</v>
      </c>
      <c r="I36" s="74">
        <v>120</v>
      </c>
      <c r="J36" s="74">
        <v>1.56</v>
      </c>
      <c r="K36" s="74">
        <v>13</v>
      </c>
      <c r="L36" s="74">
        <v>38</v>
      </c>
      <c r="M36" s="74">
        <v>15300</v>
      </c>
      <c r="N36" s="74">
        <v>382000000</v>
      </c>
      <c r="O36" s="74">
        <v>382000000</v>
      </c>
      <c r="P36" s="74">
        <v>1910000</v>
      </c>
      <c r="Q36" s="74">
        <v>1910000</v>
      </c>
      <c r="R36" s="74">
        <v>1400</v>
      </c>
      <c r="S36" s="74">
        <v>2210000</v>
      </c>
      <c r="T36" s="74">
        <v>2210000</v>
      </c>
      <c r="U36" s="74">
        <v>158</v>
      </c>
      <c r="V36" s="74">
        <v>158</v>
      </c>
      <c r="W36" s="74">
        <v>604000000</v>
      </c>
      <c r="X36" s="74">
        <v>604000000</v>
      </c>
      <c r="Y36" s="74">
        <v>2890</v>
      </c>
      <c r="Z36" s="74">
        <v>0.78500000000000003</v>
      </c>
      <c r="AA36" s="74">
        <v>51</v>
      </c>
      <c r="AB36" s="95" t="s">
        <v>496</v>
      </c>
      <c r="AC36" s="95">
        <v>1650000</v>
      </c>
      <c r="AD36" s="74">
        <v>1650000</v>
      </c>
      <c r="AE36" s="74">
        <v>0</v>
      </c>
    </row>
    <row r="37" spans="1:31">
      <c r="A37" s="74" t="s">
        <v>734</v>
      </c>
      <c r="B37" s="74">
        <v>350</v>
      </c>
      <c r="C37" s="95">
        <v>450</v>
      </c>
      <c r="D37" s="95">
        <v>450</v>
      </c>
      <c r="E37" s="74">
        <v>350</v>
      </c>
      <c r="F37" s="74">
        <v>16</v>
      </c>
      <c r="G37" s="74">
        <v>16</v>
      </c>
      <c r="H37" s="95" t="s">
        <v>704</v>
      </c>
      <c r="I37" s="74">
        <v>161</v>
      </c>
      <c r="J37" s="74">
        <v>1.33</v>
      </c>
      <c r="K37" s="74">
        <v>8.27</v>
      </c>
      <c r="L37" s="74">
        <v>19.899999999999999</v>
      </c>
      <c r="M37" s="74">
        <v>20500</v>
      </c>
      <c r="N37" s="74">
        <v>372000000</v>
      </c>
      <c r="O37" s="74">
        <v>372000000</v>
      </c>
      <c r="P37" s="74">
        <v>2130000</v>
      </c>
      <c r="Q37" s="74">
        <v>2130000</v>
      </c>
      <c r="R37" s="74">
        <v>1610</v>
      </c>
      <c r="S37" s="74">
        <v>2530000</v>
      </c>
      <c r="T37" s="74">
        <v>2530000</v>
      </c>
      <c r="U37" s="74">
        <v>135</v>
      </c>
      <c r="V37" s="74">
        <v>135</v>
      </c>
      <c r="W37" s="74">
        <v>614000000</v>
      </c>
      <c r="X37" s="74">
        <v>614000000</v>
      </c>
      <c r="Y37" s="74">
        <v>3250</v>
      </c>
      <c r="Z37" s="74">
        <v>1</v>
      </c>
      <c r="AA37" s="74">
        <v>26.7</v>
      </c>
      <c r="AB37" s="95" t="s">
        <v>494</v>
      </c>
      <c r="AC37" s="95">
        <v>2530000</v>
      </c>
      <c r="AD37" s="74">
        <v>2530000</v>
      </c>
      <c r="AE37" s="74">
        <v>0</v>
      </c>
    </row>
    <row r="38" spans="1:31">
      <c r="A38" s="74" t="s">
        <v>735</v>
      </c>
      <c r="B38" s="74">
        <v>350</v>
      </c>
      <c r="C38" s="95">
        <v>450</v>
      </c>
      <c r="D38" s="95">
        <v>450</v>
      </c>
      <c r="E38" s="74">
        <v>350</v>
      </c>
      <c r="F38" s="74">
        <v>12.5</v>
      </c>
      <c r="G38" s="74">
        <v>12.5</v>
      </c>
      <c r="H38" s="95" t="s">
        <v>704</v>
      </c>
      <c r="I38" s="74">
        <v>128</v>
      </c>
      <c r="J38" s="74">
        <v>1.35</v>
      </c>
      <c r="K38" s="74">
        <v>10.5</v>
      </c>
      <c r="L38" s="74">
        <v>26</v>
      </c>
      <c r="M38" s="74">
        <v>16300</v>
      </c>
      <c r="N38" s="74">
        <v>305000000</v>
      </c>
      <c r="O38" s="74">
        <v>305000000</v>
      </c>
      <c r="P38" s="74">
        <v>1740000</v>
      </c>
      <c r="Q38" s="74">
        <v>1740000</v>
      </c>
      <c r="R38" s="74">
        <v>1300</v>
      </c>
      <c r="S38" s="74">
        <v>2040000</v>
      </c>
      <c r="T38" s="74">
        <v>2040000</v>
      </c>
      <c r="U38" s="74">
        <v>137</v>
      </c>
      <c r="V38" s="74">
        <v>137</v>
      </c>
      <c r="W38" s="74">
        <v>493000000</v>
      </c>
      <c r="X38" s="74">
        <v>493000000</v>
      </c>
      <c r="Y38" s="74">
        <v>2650</v>
      </c>
      <c r="Z38" s="74">
        <v>1</v>
      </c>
      <c r="AA38" s="74">
        <v>34.9</v>
      </c>
      <c r="AB38" s="95" t="s">
        <v>495</v>
      </c>
      <c r="AC38" s="95">
        <v>1900000</v>
      </c>
      <c r="AD38" s="74">
        <v>1900000</v>
      </c>
      <c r="AE38" s="74">
        <v>0</v>
      </c>
    </row>
    <row r="39" spans="1:31">
      <c r="A39" s="74" t="s">
        <v>736</v>
      </c>
      <c r="B39" s="74">
        <v>350</v>
      </c>
      <c r="C39" s="95">
        <v>450</v>
      </c>
      <c r="D39" s="95">
        <v>450</v>
      </c>
      <c r="E39" s="74">
        <v>350</v>
      </c>
      <c r="F39" s="74">
        <v>10</v>
      </c>
      <c r="G39" s="74">
        <v>10</v>
      </c>
      <c r="H39" s="95" t="s">
        <v>704</v>
      </c>
      <c r="I39" s="74">
        <v>104</v>
      </c>
      <c r="J39" s="74">
        <v>1.36</v>
      </c>
      <c r="K39" s="74">
        <v>13</v>
      </c>
      <c r="L39" s="74">
        <v>33</v>
      </c>
      <c r="M39" s="74">
        <v>13300</v>
      </c>
      <c r="N39" s="74">
        <v>252000000</v>
      </c>
      <c r="O39" s="74">
        <v>252000000</v>
      </c>
      <c r="P39" s="74">
        <v>1440000</v>
      </c>
      <c r="Q39" s="74">
        <v>1440000</v>
      </c>
      <c r="R39" s="74">
        <v>1060</v>
      </c>
      <c r="S39" s="74">
        <v>1670000</v>
      </c>
      <c r="T39" s="74">
        <v>1670000</v>
      </c>
      <c r="U39" s="74">
        <v>138</v>
      </c>
      <c r="V39" s="74">
        <v>138</v>
      </c>
      <c r="W39" s="74">
        <v>401000000</v>
      </c>
      <c r="X39" s="74">
        <v>401000000</v>
      </c>
      <c r="Y39" s="74">
        <v>2180</v>
      </c>
      <c r="Z39" s="74">
        <v>0.90400000000000003</v>
      </c>
      <c r="AA39" s="74">
        <v>44.3</v>
      </c>
      <c r="AB39" s="95" t="s">
        <v>496</v>
      </c>
      <c r="AC39" s="95">
        <v>1350000</v>
      </c>
      <c r="AD39" s="74">
        <v>1350000</v>
      </c>
      <c r="AE39" s="74">
        <v>0</v>
      </c>
    </row>
    <row r="40" spans="1:31">
      <c r="A40" s="74" t="s">
        <v>737</v>
      </c>
      <c r="B40" s="74">
        <v>350</v>
      </c>
      <c r="C40" s="95">
        <v>450</v>
      </c>
      <c r="D40" s="95">
        <v>450</v>
      </c>
      <c r="E40" s="74">
        <v>350</v>
      </c>
      <c r="F40" s="74">
        <v>8</v>
      </c>
      <c r="G40" s="74">
        <v>8</v>
      </c>
      <c r="H40" s="95" t="s">
        <v>704</v>
      </c>
      <c r="I40" s="74">
        <v>84.2</v>
      </c>
      <c r="J40" s="74">
        <v>1.37</v>
      </c>
      <c r="K40" s="74">
        <v>16.2</v>
      </c>
      <c r="L40" s="74">
        <v>41.8</v>
      </c>
      <c r="M40" s="74">
        <v>10700</v>
      </c>
      <c r="N40" s="74">
        <v>207000000</v>
      </c>
      <c r="O40" s="74">
        <v>207000000</v>
      </c>
      <c r="P40" s="74">
        <v>1180000</v>
      </c>
      <c r="Q40" s="74">
        <v>1180000</v>
      </c>
      <c r="R40" s="74">
        <v>865</v>
      </c>
      <c r="S40" s="74">
        <v>1370000</v>
      </c>
      <c r="T40" s="74">
        <v>1370000</v>
      </c>
      <c r="U40" s="74">
        <v>139</v>
      </c>
      <c r="V40" s="74">
        <v>139</v>
      </c>
      <c r="W40" s="74">
        <v>326000000</v>
      </c>
      <c r="X40" s="74">
        <v>326000000</v>
      </c>
      <c r="Y40" s="74">
        <v>1790</v>
      </c>
      <c r="Z40" s="74">
        <v>0.71499999999999997</v>
      </c>
      <c r="AA40" s="74">
        <v>56</v>
      </c>
      <c r="AB40" s="95" t="s">
        <v>496</v>
      </c>
      <c r="AC40" s="95">
        <v>971000</v>
      </c>
      <c r="AD40" s="74">
        <v>971000</v>
      </c>
      <c r="AE40" s="74">
        <v>0</v>
      </c>
    </row>
    <row r="41" spans="1:31">
      <c r="A41" s="74" t="s">
        <v>738</v>
      </c>
      <c r="B41" s="74">
        <v>300</v>
      </c>
      <c r="C41" s="95">
        <v>450</v>
      </c>
      <c r="D41" s="95">
        <v>450</v>
      </c>
      <c r="E41" s="74">
        <v>300</v>
      </c>
      <c r="F41" s="74">
        <v>16</v>
      </c>
      <c r="G41" s="74">
        <v>16</v>
      </c>
      <c r="H41" s="95" t="s">
        <v>704</v>
      </c>
      <c r="I41" s="74">
        <v>136</v>
      </c>
      <c r="J41" s="74">
        <v>1.1299999999999999</v>
      </c>
      <c r="K41" s="74">
        <v>8.33</v>
      </c>
      <c r="L41" s="74">
        <v>16.8</v>
      </c>
      <c r="M41" s="74">
        <v>17300</v>
      </c>
      <c r="N41" s="74">
        <v>226000000</v>
      </c>
      <c r="O41" s="74">
        <v>226000000</v>
      </c>
      <c r="P41" s="74">
        <v>1510000</v>
      </c>
      <c r="Q41" s="74">
        <v>1510000</v>
      </c>
      <c r="R41" s="74">
        <v>1160</v>
      </c>
      <c r="S41" s="74">
        <v>1810000</v>
      </c>
      <c r="T41" s="74">
        <v>1810000</v>
      </c>
      <c r="U41" s="74">
        <v>114</v>
      </c>
      <c r="V41" s="74">
        <v>114</v>
      </c>
      <c r="W41" s="74">
        <v>378000000</v>
      </c>
      <c r="X41" s="74">
        <v>378000000</v>
      </c>
      <c r="Y41" s="74">
        <v>2310</v>
      </c>
      <c r="Z41" s="74">
        <v>1</v>
      </c>
      <c r="AA41" s="74">
        <v>22.5</v>
      </c>
      <c r="AB41" s="95" t="s">
        <v>494</v>
      </c>
      <c r="AC41" s="95">
        <v>1810000</v>
      </c>
      <c r="AD41" s="74">
        <v>1810000</v>
      </c>
      <c r="AE41" s="74">
        <v>0</v>
      </c>
    </row>
    <row r="42" spans="1:31">
      <c r="A42" s="74" t="s">
        <v>739</v>
      </c>
      <c r="B42" s="74">
        <v>300</v>
      </c>
      <c r="C42" s="95">
        <v>450</v>
      </c>
      <c r="D42" s="95">
        <v>450</v>
      </c>
      <c r="E42" s="74">
        <v>300</v>
      </c>
      <c r="F42" s="74">
        <v>12.5</v>
      </c>
      <c r="G42" s="74">
        <v>12.5</v>
      </c>
      <c r="H42" s="95" t="s">
        <v>704</v>
      </c>
      <c r="I42" s="74">
        <v>109</v>
      </c>
      <c r="J42" s="74">
        <v>1.1499999999999999</v>
      </c>
      <c r="K42" s="74">
        <v>10.6</v>
      </c>
      <c r="L42" s="74">
        <v>22</v>
      </c>
      <c r="M42" s="74">
        <v>13800</v>
      </c>
      <c r="N42" s="74">
        <v>187000000</v>
      </c>
      <c r="O42" s="74">
        <v>187000000</v>
      </c>
      <c r="P42" s="74">
        <v>1240000</v>
      </c>
      <c r="Q42" s="74">
        <v>1240000</v>
      </c>
      <c r="R42" s="74">
        <v>937</v>
      </c>
      <c r="S42" s="74">
        <v>1470000</v>
      </c>
      <c r="T42" s="74">
        <v>1470000</v>
      </c>
      <c r="U42" s="74">
        <v>116</v>
      </c>
      <c r="V42" s="74">
        <v>116</v>
      </c>
      <c r="W42" s="74">
        <v>305000000</v>
      </c>
      <c r="X42" s="74">
        <v>305000000</v>
      </c>
      <c r="Y42" s="74">
        <v>1900</v>
      </c>
      <c r="Z42" s="74">
        <v>1</v>
      </c>
      <c r="AA42" s="74">
        <v>29.5</v>
      </c>
      <c r="AB42" s="95" t="s">
        <v>494</v>
      </c>
      <c r="AC42" s="95">
        <v>1470000</v>
      </c>
      <c r="AD42" s="74">
        <v>1470000</v>
      </c>
      <c r="AE42" s="74">
        <v>0</v>
      </c>
    </row>
    <row r="43" spans="1:31">
      <c r="A43" s="74" t="s">
        <v>740</v>
      </c>
      <c r="B43" s="74">
        <v>300</v>
      </c>
      <c r="C43" s="95">
        <v>450</v>
      </c>
      <c r="D43" s="95">
        <v>450</v>
      </c>
      <c r="E43" s="74">
        <v>300</v>
      </c>
      <c r="F43" s="74">
        <v>10</v>
      </c>
      <c r="G43" s="74">
        <v>10</v>
      </c>
      <c r="H43" s="95" t="s">
        <v>704</v>
      </c>
      <c r="I43" s="74">
        <v>88.4</v>
      </c>
      <c r="J43" s="74">
        <v>1.1599999999999999</v>
      </c>
      <c r="K43" s="74">
        <v>13.1</v>
      </c>
      <c r="L43" s="74">
        <v>28</v>
      </c>
      <c r="M43" s="74">
        <v>11300</v>
      </c>
      <c r="N43" s="74">
        <v>155000000</v>
      </c>
      <c r="O43" s="74">
        <v>155000000</v>
      </c>
      <c r="P43" s="74">
        <v>1030000</v>
      </c>
      <c r="Q43" s="74">
        <v>1030000</v>
      </c>
      <c r="R43" s="74">
        <v>769</v>
      </c>
      <c r="S43" s="74">
        <v>1210000</v>
      </c>
      <c r="T43" s="74">
        <v>1210000</v>
      </c>
      <c r="U43" s="74">
        <v>117</v>
      </c>
      <c r="V43" s="74">
        <v>117</v>
      </c>
      <c r="W43" s="74">
        <v>250000000</v>
      </c>
      <c r="X43" s="74">
        <v>250000000</v>
      </c>
      <c r="Y43" s="74">
        <v>1570</v>
      </c>
      <c r="Z43" s="74">
        <v>1</v>
      </c>
      <c r="AA43" s="74">
        <v>37.6</v>
      </c>
      <c r="AB43" s="95" t="s">
        <v>495</v>
      </c>
      <c r="AC43" s="95">
        <v>1080000</v>
      </c>
      <c r="AD43" s="74">
        <v>1080000</v>
      </c>
      <c r="AE43" s="74">
        <v>0</v>
      </c>
    </row>
    <row r="44" spans="1:31">
      <c r="A44" s="74" t="s">
        <v>741</v>
      </c>
      <c r="B44" s="74">
        <v>300</v>
      </c>
      <c r="C44" s="95">
        <v>450</v>
      </c>
      <c r="D44" s="95">
        <v>450</v>
      </c>
      <c r="E44" s="74">
        <v>300</v>
      </c>
      <c r="F44" s="74">
        <v>8</v>
      </c>
      <c r="G44" s="74">
        <v>8</v>
      </c>
      <c r="H44" s="95" t="s">
        <v>704</v>
      </c>
      <c r="I44" s="74">
        <v>71.599999999999994</v>
      </c>
      <c r="J44" s="74">
        <v>1.17</v>
      </c>
      <c r="K44" s="74">
        <v>16.3</v>
      </c>
      <c r="L44" s="74">
        <v>35.5</v>
      </c>
      <c r="M44" s="74">
        <v>9120</v>
      </c>
      <c r="N44" s="74">
        <v>128000000</v>
      </c>
      <c r="O44" s="74">
        <v>128000000</v>
      </c>
      <c r="P44" s="74">
        <v>853000</v>
      </c>
      <c r="Q44" s="74">
        <v>853000</v>
      </c>
      <c r="R44" s="74">
        <v>628</v>
      </c>
      <c r="S44" s="74">
        <v>991000</v>
      </c>
      <c r="T44" s="74">
        <v>991000</v>
      </c>
      <c r="U44" s="74">
        <v>118</v>
      </c>
      <c r="V44" s="74">
        <v>118</v>
      </c>
      <c r="W44" s="74">
        <v>203000000</v>
      </c>
      <c r="X44" s="74">
        <v>203000000</v>
      </c>
      <c r="Y44" s="74">
        <v>1290</v>
      </c>
      <c r="Z44" s="74">
        <v>0.84</v>
      </c>
      <c r="AA44" s="74">
        <v>47.6</v>
      </c>
      <c r="AB44" s="95" t="s">
        <v>496</v>
      </c>
      <c r="AC44" s="95">
        <v>768000</v>
      </c>
      <c r="AD44" s="74">
        <v>768000</v>
      </c>
      <c r="AE44" s="74">
        <v>0</v>
      </c>
    </row>
    <row r="45" spans="1:31">
      <c r="A45" s="74" t="s">
        <v>742</v>
      </c>
      <c r="B45" s="74">
        <v>250</v>
      </c>
      <c r="C45" s="95">
        <v>450</v>
      </c>
      <c r="D45" s="95">
        <v>450</v>
      </c>
      <c r="E45" s="74">
        <v>250</v>
      </c>
      <c r="F45" s="74">
        <v>16</v>
      </c>
      <c r="G45" s="74">
        <v>16</v>
      </c>
      <c r="H45" s="95" t="s">
        <v>704</v>
      </c>
      <c r="I45" s="74">
        <v>111</v>
      </c>
      <c r="J45" s="74">
        <v>0.93100000000000005</v>
      </c>
      <c r="K45" s="74">
        <v>8.42</v>
      </c>
      <c r="L45" s="74">
        <v>13.6</v>
      </c>
      <c r="M45" s="74">
        <v>14100</v>
      </c>
      <c r="N45" s="74">
        <v>124000000</v>
      </c>
      <c r="O45" s="74">
        <v>124000000</v>
      </c>
      <c r="P45" s="74">
        <v>992000</v>
      </c>
      <c r="Q45" s="74">
        <v>992000</v>
      </c>
      <c r="R45" s="74">
        <v>774</v>
      </c>
      <c r="S45" s="74">
        <v>1210000</v>
      </c>
      <c r="T45" s="74">
        <v>1210000</v>
      </c>
      <c r="U45" s="74">
        <v>93.8</v>
      </c>
      <c r="V45" s="74">
        <v>93.8</v>
      </c>
      <c r="W45" s="74">
        <v>212000000</v>
      </c>
      <c r="X45" s="74">
        <v>212000000</v>
      </c>
      <c r="Y45" s="74">
        <v>1530</v>
      </c>
      <c r="Z45" s="74">
        <v>1</v>
      </c>
      <c r="AA45" s="74">
        <v>18.3</v>
      </c>
      <c r="AB45" s="95" t="s">
        <v>494</v>
      </c>
      <c r="AC45" s="95">
        <v>1210000</v>
      </c>
      <c r="AD45" s="74">
        <v>1210000</v>
      </c>
      <c r="AE45" s="74">
        <v>0</v>
      </c>
    </row>
    <row r="46" spans="1:31">
      <c r="A46" s="74" t="s">
        <v>743</v>
      </c>
      <c r="B46" s="74">
        <v>250</v>
      </c>
      <c r="C46" s="95">
        <v>450</v>
      </c>
      <c r="D46" s="95">
        <v>450</v>
      </c>
      <c r="E46" s="74">
        <v>250</v>
      </c>
      <c r="F46" s="74">
        <v>12.5</v>
      </c>
      <c r="G46" s="74">
        <v>12.5</v>
      </c>
      <c r="H46" s="95" t="s">
        <v>704</v>
      </c>
      <c r="I46" s="74">
        <v>89</v>
      </c>
      <c r="J46" s="74">
        <v>0.94599999999999995</v>
      </c>
      <c r="K46" s="74">
        <v>10.6</v>
      </c>
      <c r="L46" s="74">
        <v>18</v>
      </c>
      <c r="M46" s="74">
        <v>11300</v>
      </c>
      <c r="N46" s="74">
        <v>104000000</v>
      </c>
      <c r="O46" s="74">
        <v>104000000</v>
      </c>
      <c r="P46" s="74">
        <v>830000</v>
      </c>
      <c r="Q46" s="74">
        <v>830000</v>
      </c>
      <c r="R46" s="74">
        <v>634</v>
      </c>
      <c r="S46" s="74">
        <v>992000</v>
      </c>
      <c r="T46" s="74">
        <v>992000</v>
      </c>
      <c r="U46" s="74">
        <v>95.7</v>
      </c>
      <c r="V46" s="74">
        <v>95.7</v>
      </c>
      <c r="W46" s="74">
        <v>173000000</v>
      </c>
      <c r="X46" s="74">
        <v>173000000</v>
      </c>
      <c r="Y46" s="74">
        <v>1270</v>
      </c>
      <c r="Z46" s="74">
        <v>1</v>
      </c>
      <c r="AA46" s="74">
        <v>24.1</v>
      </c>
      <c r="AB46" s="95" t="s">
        <v>494</v>
      </c>
      <c r="AC46" s="95">
        <v>992000</v>
      </c>
      <c r="AD46" s="74">
        <v>992000</v>
      </c>
      <c r="AE46" s="74">
        <v>0</v>
      </c>
    </row>
    <row r="47" spans="1:31">
      <c r="A47" s="74" t="s">
        <v>744</v>
      </c>
      <c r="B47" s="74">
        <v>250</v>
      </c>
      <c r="C47" s="95">
        <v>450</v>
      </c>
      <c r="D47" s="95">
        <v>450</v>
      </c>
      <c r="E47" s="74">
        <v>250</v>
      </c>
      <c r="F47" s="74">
        <v>10</v>
      </c>
      <c r="G47" s="74">
        <v>10</v>
      </c>
      <c r="H47" s="95" t="s">
        <v>704</v>
      </c>
      <c r="I47" s="74">
        <v>72.7</v>
      </c>
      <c r="J47" s="74">
        <v>0.95699999999999996</v>
      </c>
      <c r="K47" s="74">
        <v>13.2</v>
      </c>
      <c r="L47" s="74">
        <v>23</v>
      </c>
      <c r="M47" s="74">
        <v>9260</v>
      </c>
      <c r="N47" s="74">
        <v>87100000</v>
      </c>
      <c r="O47" s="74">
        <v>87100000</v>
      </c>
      <c r="P47" s="74">
        <v>697000</v>
      </c>
      <c r="Q47" s="74">
        <v>697000</v>
      </c>
      <c r="R47" s="74">
        <v>523</v>
      </c>
      <c r="S47" s="74">
        <v>822000</v>
      </c>
      <c r="T47" s="74">
        <v>822000</v>
      </c>
      <c r="U47" s="74">
        <v>97</v>
      </c>
      <c r="V47" s="74">
        <v>97</v>
      </c>
      <c r="W47" s="74">
        <v>142000000</v>
      </c>
      <c r="X47" s="74">
        <v>142000000</v>
      </c>
      <c r="Y47" s="74">
        <v>1060</v>
      </c>
      <c r="Z47" s="74">
        <v>1</v>
      </c>
      <c r="AA47" s="74">
        <v>30.9</v>
      </c>
      <c r="AB47" s="95" t="s">
        <v>495</v>
      </c>
      <c r="AC47" s="95">
        <v>811000</v>
      </c>
      <c r="AD47" s="74">
        <v>811000</v>
      </c>
      <c r="AE47" s="74">
        <v>0</v>
      </c>
    </row>
    <row r="48" spans="1:31">
      <c r="A48" s="74" t="s">
        <v>745</v>
      </c>
      <c r="B48" s="74">
        <v>250</v>
      </c>
      <c r="C48" s="95">
        <v>450</v>
      </c>
      <c r="D48" s="95">
        <v>450</v>
      </c>
      <c r="E48" s="74">
        <v>250</v>
      </c>
      <c r="F48" s="74">
        <v>9</v>
      </c>
      <c r="G48" s="74">
        <v>9</v>
      </c>
      <c r="H48" s="95" t="s">
        <v>704</v>
      </c>
      <c r="I48" s="74">
        <v>65.900000000000006</v>
      </c>
      <c r="J48" s="74">
        <v>0.96099999999999997</v>
      </c>
      <c r="K48" s="74">
        <v>14.6</v>
      </c>
      <c r="L48" s="74">
        <v>25.8</v>
      </c>
      <c r="M48" s="74">
        <v>8400</v>
      </c>
      <c r="N48" s="74">
        <v>79800000</v>
      </c>
      <c r="O48" s="74">
        <v>79800000</v>
      </c>
      <c r="P48" s="74">
        <v>639000</v>
      </c>
      <c r="Q48" s="74">
        <v>639000</v>
      </c>
      <c r="R48" s="74">
        <v>477</v>
      </c>
      <c r="S48" s="74">
        <v>750000</v>
      </c>
      <c r="T48" s="74">
        <v>750000</v>
      </c>
      <c r="U48" s="74">
        <v>97.5</v>
      </c>
      <c r="V48" s="74">
        <v>97.5</v>
      </c>
      <c r="W48" s="74">
        <v>129000000</v>
      </c>
      <c r="X48" s="74">
        <v>129000000</v>
      </c>
      <c r="Y48" s="74">
        <v>972</v>
      </c>
      <c r="Z48" s="74">
        <v>1</v>
      </c>
      <c r="AA48" s="74">
        <v>34.6</v>
      </c>
      <c r="AB48" s="95" t="s">
        <v>495</v>
      </c>
      <c r="AC48" s="95">
        <v>699000</v>
      </c>
      <c r="AD48" s="74">
        <v>699000</v>
      </c>
      <c r="AE48" s="74">
        <v>0</v>
      </c>
    </row>
    <row r="49" spans="1:31">
      <c r="A49" s="74" t="s">
        <v>746</v>
      </c>
      <c r="B49" s="74">
        <v>250</v>
      </c>
      <c r="C49" s="95">
        <v>450</v>
      </c>
      <c r="D49" s="95">
        <v>450</v>
      </c>
      <c r="E49" s="74">
        <v>250</v>
      </c>
      <c r="F49" s="74">
        <v>8</v>
      </c>
      <c r="G49" s="74">
        <v>8</v>
      </c>
      <c r="H49" s="95" t="s">
        <v>704</v>
      </c>
      <c r="I49" s="74">
        <v>59.1</v>
      </c>
      <c r="J49" s="74">
        <v>0.96599999999999997</v>
      </c>
      <c r="K49" s="74">
        <v>16.3</v>
      </c>
      <c r="L49" s="74">
        <v>29.3</v>
      </c>
      <c r="M49" s="74">
        <v>7520</v>
      </c>
      <c r="N49" s="74">
        <v>72300000</v>
      </c>
      <c r="O49" s="74">
        <v>72300000</v>
      </c>
      <c r="P49" s="74">
        <v>578000</v>
      </c>
      <c r="Q49" s="74">
        <v>578000</v>
      </c>
      <c r="R49" s="74">
        <v>429</v>
      </c>
      <c r="S49" s="74">
        <v>676000</v>
      </c>
      <c r="T49" s="74">
        <v>676000</v>
      </c>
      <c r="U49" s="74">
        <v>98</v>
      </c>
      <c r="V49" s="74">
        <v>98</v>
      </c>
      <c r="W49" s="74">
        <v>116000000</v>
      </c>
      <c r="X49" s="74">
        <v>116000000</v>
      </c>
      <c r="Y49" s="74">
        <v>878</v>
      </c>
      <c r="Z49" s="74">
        <v>1</v>
      </c>
      <c r="AA49" s="74">
        <v>39.200000000000003</v>
      </c>
      <c r="AB49" s="95" t="s">
        <v>495</v>
      </c>
      <c r="AC49" s="95">
        <v>586000</v>
      </c>
      <c r="AD49" s="74">
        <v>586000</v>
      </c>
      <c r="AE49" s="74">
        <v>0</v>
      </c>
    </row>
    <row r="50" spans="1:31">
      <c r="A50" s="74" t="s">
        <v>747</v>
      </c>
      <c r="B50" s="74">
        <v>250</v>
      </c>
      <c r="C50" s="95">
        <v>450</v>
      </c>
      <c r="D50" s="95">
        <v>450</v>
      </c>
      <c r="E50" s="74">
        <v>250</v>
      </c>
      <c r="F50" s="74">
        <v>6</v>
      </c>
      <c r="G50" s="74">
        <v>6</v>
      </c>
      <c r="H50" s="95" t="s">
        <v>704</v>
      </c>
      <c r="I50" s="74">
        <v>45</v>
      </c>
      <c r="J50" s="74">
        <v>0.97399999999999998</v>
      </c>
      <c r="K50" s="74">
        <v>21.7</v>
      </c>
      <c r="L50" s="74">
        <v>39.700000000000003</v>
      </c>
      <c r="M50" s="74">
        <v>5730</v>
      </c>
      <c r="N50" s="74">
        <v>56200000</v>
      </c>
      <c r="O50" s="74">
        <v>56200000</v>
      </c>
      <c r="P50" s="74">
        <v>450000</v>
      </c>
      <c r="Q50" s="74">
        <v>450000</v>
      </c>
      <c r="R50" s="74">
        <v>330</v>
      </c>
      <c r="S50" s="74">
        <v>521000</v>
      </c>
      <c r="T50" s="74">
        <v>521000</v>
      </c>
      <c r="U50" s="74">
        <v>99</v>
      </c>
      <c r="V50" s="74">
        <v>99</v>
      </c>
      <c r="W50" s="74">
        <v>88700000</v>
      </c>
      <c r="X50" s="74">
        <v>88700000</v>
      </c>
      <c r="Y50" s="74">
        <v>681</v>
      </c>
      <c r="Z50" s="74">
        <v>0.753</v>
      </c>
      <c r="AA50" s="74">
        <v>53.2</v>
      </c>
      <c r="AB50" s="95" t="s">
        <v>496</v>
      </c>
      <c r="AC50" s="95">
        <v>380000</v>
      </c>
      <c r="AD50" s="74">
        <v>380000</v>
      </c>
      <c r="AE50" s="74">
        <v>0</v>
      </c>
    </row>
    <row r="51" spans="1:31">
      <c r="A51" s="74" t="s">
        <v>748</v>
      </c>
      <c r="B51" s="74">
        <v>200</v>
      </c>
      <c r="C51" s="95">
        <v>450</v>
      </c>
      <c r="D51" s="95">
        <v>450</v>
      </c>
      <c r="E51" s="74">
        <v>200</v>
      </c>
      <c r="F51" s="74">
        <v>16</v>
      </c>
      <c r="G51" s="74">
        <v>16</v>
      </c>
      <c r="H51" s="95" t="s">
        <v>704</v>
      </c>
      <c r="I51" s="74">
        <v>85.5</v>
      </c>
      <c r="J51" s="74">
        <v>0.73099999999999998</v>
      </c>
      <c r="K51" s="74">
        <v>8.5500000000000007</v>
      </c>
      <c r="L51" s="74">
        <v>10.5</v>
      </c>
      <c r="M51" s="74">
        <v>10900</v>
      </c>
      <c r="N51" s="74">
        <v>58600000</v>
      </c>
      <c r="O51" s="74">
        <v>58600000</v>
      </c>
      <c r="P51" s="74">
        <v>586000</v>
      </c>
      <c r="Q51" s="74">
        <v>586000</v>
      </c>
      <c r="R51" s="74">
        <v>469</v>
      </c>
      <c r="S51" s="74">
        <v>728000</v>
      </c>
      <c r="T51" s="74">
        <v>728000</v>
      </c>
      <c r="U51" s="74">
        <v>73.3</v>
      </c>
      <c r="V51" s="74">
        <v>73.3</v>
      </c>
      <c r="W51" s="74">
        <v>103000000</v>
      </c>
      <c r="X51" s="74">
        <v>103000000</v>
      </c>
      <c r="Y51" s="74">
        <v>914</v>
      </c>
      <c r="Z51" s="74">
        <v>1</v>
      </c>
      <c r="AA51" s="74">
        <v>14.1</v>
      </c>
      <c r="AB51" s="95" t="s">
        <v>494</v>
      </c>
      <c r="AC51" s="95">
        <v>728000</v>
      </c>
      <c r="AD51" s="74">
        <v>728000</v>
      </c>
      <c r="AE51" s="74">
        <v>0</v>
      </c>
    </row>
    <row r="52" spans="1:31">
      <c r="A52" s="74" t="s">
        <v>749</v>
      </c>
      <c r="B52" s="74">
        <v>200</v>
      </c>
      <c r="C52" s="95">
        <v>450</v>
      </c>
      <c r="D52" s="95">
        <v>450</v>
      </c>
      <c r="E52" s="74">
        <v>200</v>
      </c>
      <c r="F52" s="74">
        <v>12.5</v>
      </c>
      <c r="G52" s="74">
        <v>12.5</v>
      </c>
      <c r="H52" s="95" t="s">
        <v>704</v>
      </c>
      <c r="I52" s="74">
        <v>69.400000000000006</v>
      </c>
      <c r="J52" s="74">
        <v>0.746</v>
      </c>
      <c r="K52" s="74">
        <v>10.8</v>
      </c>
      <c r="L52" s="74">
        <v>14</v>
      </c>
      <c r="M52" s="74">
        <v>8840</v>
      </c>
      <c r="N52" s="74">
        <v>50000000</v>
      </c>
      <c r="O52" s="74">
        <v>50000000</v>
      </c>
      <c r="P52" s="74">
        <v>500000</v>
      </c>
      <c r="Q52" s="74">
        <v>500000</v>
      </c>
      <c r="R52" s="74">
        <v>389</v>
      </c>
      <c r="S52" s="74">
        <v>607000</v>
      </c>
      <c r="T52" s="74">
        <v>607000</v>
      </c>
      <c r="U52" s="74">
        <v>75.2</v>
      </c>
      <c r="V52" s="74">
        <v>75.2</v>
      </c>
      <c r="W52" s="74">
        <v>85200000</v>
      </c>
      <c r="X52" s="74">
        <v>85200000</v>
      </c>
      <c r="Y52" s="74">
        <v>772</v>
      </c>
      <c r="Z52" s="74">
        <v>1</v>
      </c>
      <c r="AA52" s="74">
        <v>18.8</v>
      </c>
      <c r="AB52" s="95" t="s">
        <v>494</v>
      </c>
      <c r="AC52" s="95">
        <v>607000</v>
      </c>
      <c r="AD52" s="74">
        <v>607000</v>
      </c>
      <c r="AE52" s="74">
        <v>0</v>
      </c>
    </row>
    <row r="53" spans="1:31">
      <c r="A53" s="74" t="s">
        <v>750</v>
      </c>
      <c r="B53" s="74">
        <v>200</v>
      </c>
      <c r="C53" s="95">
        <v>450</v>
      </c>
      <c r="D53" s="95">
        <v>450</v>
      </c>
      <c r="E53" s="74">
        <v>200</v>
      </c>
      <c r="F53" s="74">
        <v>10</v>
      </c>
      <c r="G53" s="74">
        <v>10</v>
      </c>
      <c r="H53" s="95" t="s">
        <v>704</v>
      </c>
      <c r="I53" s="74">
        <v>57</v>
      </c>
      <c r="J53" s="74">
        <v>0.75700000000000001</v>
      </c>
      <c r="K53" s="74">
        <v>13.3</v>
      </c>
      <c r="L53" s="74">
        <v>18</v>
      </c>
      <c r="M53" s="74">
        <v>7260</v>
      </c>
      <c r="N53" s="74">
        <v>42500000</v>
      </c>
      <c r="O53" s="74">
        <v>42500000</v>
      </c>
      <c r="P53" s="74">
        <v>425000</v>
      </c>
      <c r="Q53" s="74">
        <v>425000</v>
      </c>
      <c r="R53" s="74">
        <v>324</v>
      </c>
      <c r="S53" s="74">
        <v>508000</v>
      </c>
      <c r="T53" s="74">
        <v>508000</v>
      </c>
      <c r="U53" s="74">
        <v>76.5</v>
      </c>
      <c r="V53" s="74">
        <v>76.5</v>
      </c>
      <c r="W53" s="74">
        <v>70700000</v>
      </c>
      <c r="X53" s="74">
        <v>70700000</v>
      </c>
      <c r="Y53" s="74">
        <v>651</v>
      </c>
      <c r="Z53" s="74">
        <v>1</v>
      </c>
      <c r="AA53" s="74">
        <v>24.1</v>
      </c>
      <c r="AB53" s="95" t="s">
        <v>494</v>
      </c>
      <c r="AC53" s="95">
        <v>508000</v>
      </c>
      <c r="AD53" s="74">
        <v>508000</v>
      </c>
      <c r="AE53" s="74">
        <v>0</v>
      </c>
    </row>
    <row r="54" spans="1:31">
      <c r="A54" s="74" t="s">
        <v>751</v>
      </c>
      <c r="B54" s="74">
        <v>200</v>
      </c>
      <c r="C54" s="95">
        <v>450</v>
      </c>
      <c r="D54" s="95">
        <v>450</v>
      </c>
      <c r="E54" s="74">
        <v>200</v>
      </c>
      <c r="F54" s="74">
        <v>9</v>
      </c>
      <c r="G54" s="74">
        <v>9</v>
      </c>
      <c r="H54" s="95" t="s">
        <v>704</v>
      </c>
      <c r="I54" s="74">
        <v>51.8</v>
      </c>
      <c r="J54" s="74">
        <v>0.76100000000000001</v>
      </c>
      <c r="K54" s="74">
        <v>14.7</v>
      </c>
      <c r="L54" s="74">
        <v>20.2</v>
      </c>
      <c r="M54" s="74">
        <v>6600</v>
      </c>
      <c r="N54" s="74">
        <v>39200000</v>
      </c>
      <c r="O54" s="74">
        <v>39200000</v>
      </c>
      <c r="P54" s="74">
        <v>392000</v>
      </c>
      <c r="Q54" s="74">
        <v>392000</v>
      </c>
      <c r="R54" s="74">
        <v>297</v>
      </c>
      <c r="S54" s="74">
        <v>465000</v>
      </c>
      <c r="T54" s="74">
        <v>465000</v>
      </c>
      <c r="U54" s="74">
        <v>77.099999999999994</v>
      </c>
      <c r="V54" s="74">
        <v>77.099999999999994</v>
      </c>
      <c r="W54" s="74">
        <v>64500000</v>
      </c>
      <c r="X54" s="74">
        <v>64500000</v>
      </c>
      <c r="Y54" s="74">
        <v>599</v>
      </c>
      <c r="Z54" s="74">
        <v>1</v>
      </c>
      <c r="AA54" s="74">
        <v>27.1</v>
      </c>
      <c r="AB54" s="95" t="s">
        <v>494</v>
      </c>
      <c r="AC54" s="95">
        <v>465000</v>
      </c>
      <c r="AD54" s="74">
        <v>465000</v>
      </c>
      <c r="AE54" s="74">
        <v>0</v>
      </c>
    </row>
    <row r="55" spans="1:31">
      <c r="A55" s="74" t="s">
        <v>752</v>
      </c>
      <c r="B55" s="74">
        <v>200</v>
      </c>
      <c r="C55" s="95">
        <v>450</v>
      </c>
      <c r="D55" s="95">
        <v>450</v>
      </c>
      <c r="E55" s="74">
        <v>200</v>
      </c>
      <c r="F55" s="74">
        <v>8</v>
      </c>
      <c r="G55" s="74">
        <v>8</v>
      </c>
      <c r="H55" s="95" t="s">
        <v>704</v>
      </c>
      <c r="I55" s="74">
        <v>46.5</v>
      </c>
      <c r="J55" s="74">
        <v>0.76600000000000001</v>
      </c>
      <c r="K55" s="74">
        <v>16.5</v>
      </c>
      <c r="L55" s="74">
        <v>23</v>
      </c>
      <c r="M55" s="74">
        <v>5920</v>
      </c>
      <c r="N55" s="74">
        <v>35700000</v>
      </c>
      <c r="O55" s="74">
        <v>35700000</v>
      </c>
      <c r="P55" s="74">
        <v>357000</v>
      </c>
      <c r="Q55" s="74">
        <v>357000</v>
      </c>
      <c r="R55" s="74">
        <v>268</v>
      </c>
      <c r="S55" s="74">
        <v>421000</v>
      </c>
      <c r="T55" s="74">
        <v>421000</v>
      </c>
      <c r="U55" s="74">
        <v>77.599999999999994</v>
      </c>
      <c r="V55" s="74">
        <v>77.599999999999994</v>
      </c>
      <c r="W55" s="74">
        <v>58200000</v>
      </c>
      <c r="X55" s="74">
        <v>58200000</v>
      </c>
      <c r="Y55" s="74">
        <v>544</v>
      </c>
      <c r="Z55" s="74">
        <v>1</v>
      </c>
      <c r="AA55" s="74">
        <v>30.9</v>
      </c>
      <c r="AB55" s="95" t="s">
        <v>495</v>
      </c>
      <c r="AC55" s="95">
        <v>415000</v>
      </c>
      <c r="AD55" s="74">
        <v>415000</v>
      </c>
      <c r="AE55" s="74">
        <v>0</v>
      </c>
    </row>
    <row r="56" spans="1:31">
      <c r="A56" s="74" t="s">
        <v>753</v>
      </c>
      <c r="B56" s="74">
        <v>200</v>
      </c>
      <c r="C56" s="95">
        <v>450</v>
      </c>
      <c r="D56" s="95">
        <v>450</v>
      </c>
      <c r="E56" s="74">
        <v>200</v>
      </c>
      <c r="F56" s="74">
        <v>6</v>
      </c>
      <c r="G56" s="74">
        <v>6</v>
      </c>
      <c r="H56" s="95" t="s">
        <v>704</v>
      </c>
      <c r="I56" s="74">
        <v>35.6</v>
      </c>
      <c r="J56" s="74">
        <v>0.77400000000000002</v>
      </c>
      <c r="K56" s="74">
        <v>21.8</v>
      </c>
      <c r="L56" s="74">
        <v>31.3</v>
      </c>
      <c r="M56" s="74">
        <v>4530</v>
      </c>
      <c r="N56" s="74">
        <v>28000000</v>
      </c>
      <c r="O56" s="74">
        <v>28000000</v>
      </c>
      <c r="P56" s="74">
        <v>280000</v>
      </c>
      <c r="Q56" s="74">
        <v>280000</v>
      </c>
      <c r="R56" s="74">
        <v>207</v>
      </c>
      <c r="S56" s="74">
        <v>327000</v>
      </c>
      <c r="T56" s="74">
        <v>327000</v>
      </c>
      <c r="U56" s="74">
        <v>78.599999999999994</v>
      </c>
      <c r="V56" s="74">
        <v>78.599999999999994</v>
      </c>
      <c r="W56" s="74">
        <v>44800000</v>
      </c>
      <c r="X56" s="74">
        <v>44800000</v>
      </c>
      <c r="Y56" s="74">
        <v>425</v>
      </c>
      <c r="Z56" s="74">
        <v>0.95199999999999996</v>
      </c>
      <c r="AA56" s="74">
        <v>42</v>
      </c>
      <c r="AB56" s="95" t="s">
        <v>496</v>
      </c>
      <c r="AC56" s="95">
        <v>272000</v>
      </c>
      <c r="AD56" s="74">
        <v>272000</v>
      </c>
      <c r="AE56" s="74">
        <v>0</v>
      </c>
    </row>
    <row r="57" spans="1:31">
      <c r="A57" s="74" t="s">
        <v>754</v>
      </c>
      <c r="B57" s="74">
        <v>200</v>
      </c>
      <c r="C57" s="95">
        <v>450</v>
      </c>
      <c r="D57" s="95">
        <v>450</v>
      </c>
      <c r="E57" s="74">
        <v>200</v>
      </c>
      <c r="F57" s="74">
        <v>5</v>
      </c>
      <c r="G57" s="74">
        <v>5</v>
      </c>
      <c r="H57" s="95" t="s">
        <v>704</v>
      </c>
      <c r="I57" s="74">
        <v>29.9</v>
      </c>
      <c r="J57" s="74">
        <v>0.77900000000000003</v>
      </c>
      <c r="K57" s="74">
        <v>26</v>
      </c>
      <c r="L57" s="74">
        <v>38</v>
      </c>
      <c r="M57" s="74">
        <v>3810</v>
      </c>
      <c r="N57" s="74">
        <v>23900000</v>
      </c>
      <c r="O57" s="74">
        <v>23900000</v>
      </c>
      <c r="P57" s="74">
        <v>239000</v>
      </c>
      <c r="Q57" s="74">
        <v>239000</v>
      </c>
      <c r="R57" s="74">
        <v>175</v>
      </c>
      <c r="S57" s="74">
        <v>277000</v>
      </c>
      <c r="T57" s="74">
        <v>277000</v>
      </c>
      <c r="U57" s="74">
        <v>79.099999999999994</v>
      </c>
      <c r="V57" s="74">
        <v>79.099999999999994</v>
      </c>
      <c r="W57" s="74">
        <v>37800000</v>
      </c>
      <c r="X57" s="74">
        <v>37800000</v>
      </c>
      <c r="Y57" s="74">
        <v>362</v>
      </c>
      <c r="Z57" s="74">
        <v>0.78500000000000003</v>
      </c>
      <c r="AA57" s="74">
        <v>51</v>
      </c>
      <c r="AB57" s="95" t="s">
        <v>496</v>
      </c>
      <c r="AC57" s="95">
        <v>207000</v>
      </c>
      <c r="AD57" s="74">
        <v>207000</v>
      </c>
      <c r="AE57" s="74">
        <v>0</v>
      </c>
    </row>
    <row r="58" spans="1:31">
      <c r="A58" s="74" t="s">
        <v>755</v>
      </c>
      <c r="B58" s="74">
        <v>150</v>
      </c>
      <c r="C58" s="95">
        <v>450</v>
      </c>
      <c r="D58" s="95">
        <v>450</v>
      </c>
      <c r="E58" s="74">
        <v>150</v>
      </c>
      <c r="F58" s="74">
        <v>10</v>
      </c>
      <c r="G58" s="74">
        <v>10</v>
      </c>
      <c r="H58" s="95" t="s">
        <v>704</v>
      </c>
      <c r="I58" s="74">
        <v>41.3</v>
      </c>
      <c r="J58" s="74">
        <v>0.55700000000000005</v>
      </c>
      <c r="K58" s="74">
        <v>13.5</v>
      </c>
      <c r="L58" s="74">
        <v>13</v>
      </c>
      <c r="M58" s="74">
        <v>5260</v>
      </c>
      <c r="N58" s="74">
        <v>16500000</v>
      </c>
      <c r="O58" s="74">
        <v>16500000</v>
      </c>
      <c r="P58" s="74">
        <v>220000</v>
      </c>
      <c r="Q58" s="74">
        <v>220000</v>
      </c>
      <c r="R58" s="74">
        <v>173</v>
      </c>
      <c r="S58" s="74">
        <v>269000</v>
      </c>
      <c r="T58" s="74">
        <v>269000</v>
      </c>
      <c r="U58" s="74">
        <v>56.1</v>
      </c>
      <c r="V58" s="74">
        <v>56.1</v>
      </c>
      <c r="W58" s="74">
        <v>28400000</v>
      </c>
      <c r="X58" s="74">
        <v>28400000</v>
      </c>
      <c r="Y58" s="74">
        <v>341</v>
      </c>
      <c r="Z58" s="74">
        <v>1</v>
      </c>
      <c r="AA58" s="74">
        <v>17.399999999999999</v>
      </c>
      <c r="AB58" s="95" t="s">
        <v>494</v>
      </c>
      <c r="AC58" s="95">
        <v>269000</v>
      </c>
      <c r="AD58" s="74">
        <v>269000</v>
      </c>
      <c r="AE58" s="74">
        <v>0</v>
      </c>
    </row>
    <row r="59" spans="1:31">
      <c r="A59" s="74" t="s">
        <v>756</v>
      </c>
      <c r="B59" s="74">
        <v>150</v>
      </c>
      <c r="C59" s="95">
        <v>450</v>
      </c>
      <c r="D59" s="95">
        <v>450</v>
      </c>
      <c r="E59" s="74">
        <v>150</v>
      </c>
      <c r="F59" s="74">
        <v>9</v>
      </c>
      <c r="G59" s="74">
        <v>9</v>
      </c>
      <c r="H59" s="95" t="s">
        <v>704</v>
      </c>
      <c r="I59" s="74">
        <v>37.700000000000003</v>
      </c>
      <c r="J59" s="74">
        <v>0.56100000000000005</v>
      </c>
      <c r="K59" s="74">
        <v>14.9</v>
      </c>
      <c r="L59" s="74">
        <v>14.7</v>
      </c>
      <c r="M59" s="74">
        <v>4800</v>
      </c>
      <c r="N59" s="74">
        <v>15400000</v>
      </c>
      <c r="O59" s="74">
        <v>15400000</v>
      </c>
      <c r="P59" s="74">
        <v>205000</v>
      </c>
      <c r="Q59" s="74">
        <v>205000</v>
      </c>
      <c r="R59" s="74">
        <v>159</v>
      </c>
      <c r="S59" s="74">
        <v>248000</v>
      </c>
      <c r="T59" s="74">
        <v>248000</v>
      </c>
      <c r="U59" s="74">
        <v>56.6</v>
      </c>
      <c r="V59" s="74">
        <v>56.6</v>
      </c>
      <c r="W59" s="74">
        <v>26100000</v>
      </c>
      <c r="X59" s="74">
        <v>26100000</v>
      </c>
      <c r="Y59" s="74">
        <v>316</v>
      </c>
      <c r="Z59" s="74">
        <v>1</v>
      </c>
      <c r="AA59" s="74">
        <v>19.7</v>
      </c>
      <c r="AB59" s="95" t="s">
        <v>494</v>
      </c>
      <c r="AC59" s="95">
        <v>248000</v>
      </c>
      <c r="AD59" s="74">
        <v>248000</v>
      </c>
      <c r="AE59" s="74">
        <v>0</v>
      </c>
    </row>
    <row r="60" spans="1:31">
      <c r="A60" s="74" t="s">
        <v>757</v>
      </c>
      <c r="B60" s="74">
        <v>150</v>
      </c>
      <c r="C60" s="95">
        <v>450</v>
      </c>
      <c r="D60" s="95">
        <v>450</v>
      </c>
      <c r="E60" s="74">
        <v>150</v>
      </c>
      <c r="F60" s="74">
        <v>8</v>
      </c>
      <c r="G60" s="74">
        <v>8</v>
      </c>
      <c r="H60" s="95" t="s">
        <v>704</v>
      </c>
      <c r="I60" s="74">
        <v>33.9</v>
      </c>
      <c r="J60" s="74">
        <v>0.56599999999999995</v>
      </c>
      <c r="K60" s="74">
        <v>16.7</v>
      </c>
      <c r="L60" s="74">
        <v>16.8</v>
      </c>
      <c r="M60" s="74">
        <v>4320</v>
      </c>
      <c r="N60" s="74">
        <v>14100000</v>
      </c>
      <c r="O60" s="74">
        <v>14100000</v>
      </c>
      <c r="P60" s="74">
        <v>188000</v>
      </c>
      <c r="Q60" s="74">
        <v>188000</v>
      </c>
      <c r="R60" s="74">
        <v>144</v>
      </c>
      <c r="S60" s="74">
        <v>226000</v>
      </c>
      <c r="T60" s="74">
        <v>226000</v>
      </c>
      <c r="U60" s="74">
        <v>57.1</v>
      </c>
      <c r="V60" s="74">
        <v>57.1</v>
      </c>
      <c r="W60" s="74">
        <v>23600000</v>
      </c>
      <c r="X60" s="74">
        <v>23600000</v>
      </c>
      <c r="Y60" s="74">
        <v>289</v>
      </c>
      <c r="Z60" s="74">
        <v>1</v>
      </c>
      <c r="AA60" s="74">
        <v>22.5</v>
      </c>
      <c r="AB60" s="95" t="s">
        <v>494</v>
      </c>
      <c r="AC60" s="95">
        <v>226000</v>
      </c>
      <c r="AD60" s="74">
        <v>226000</v>
      </c>
      <c r="AE60" s="74">
        <v>0</v>
      </c>
    </row>
    <row r="61" spans="1:31">
      <c r="A61" s="74" t="s">
        <v>758</v>
      </c>
      <c r="B61" s="74">
        <v>150</v>
      </c>
      <c r="C61" s="95">
        <v>450</v>
      </c>
      <c r="D61" s="95">
        <v>450</v>
      </c>
      <c r="E61" s="74">
        <v>150</v>
      </c>
      <c r="F61" s="74">
        <v>6</v>
      </c>
      <c r="G61" s="74">
        <v>6</v>
      </c>
      <c r="H61" s="95" t="s">
        <v>704</v>
      </c>
      <c r="I61" s="74">
        <v>26.2</v>
      </c>
      <c r="J61" s="74">
        <v>0.57399999999999995</v>
      </c>
      <c r="K61" s="74">
        <v>22</v>
      </c>
      <c r="L61" s="74">
        <v>23</v>
      </c>
      <c r="M61" s="74">
        <v>3330</v>
      </c>
      <c r="N61" s="74">
        <v>11300000</v>
      </c>
      <c r="O61" s="74">
        <v>11300000</v>
      </c>
      <c r="P61" s="74">
        <v>150000</v>
      </c>
      <c r="Q61" s="74">
        <v>150000</v>
      </c>
      <c r="R61" s="74">
        <v>113</v>
      </c>
      <c r="S61" s="74">
        <v>178000</v>
      </c>
      <c r="T61" s="74">
        <v>178000</v>
      </c>
      <c r="U61" s="74">
        <v>58.2</v>
      </c>
      <c r="V61" s="74">
        <v>58.2</v>
      </c>
      <c r="W61" s="74">
        <v>18400000</v>
      </c>
      <c r="X61" s="74">
        <v>18400000</v>
      </c>
      <c r="Y61" s="74">
        <v>229</v>
      </c>
      <c r="Z61" s="74">
        <v>1</v>
      </c>
      <c r="AA61" s="74">
        <v>30.9</v>
      </c>
      <c r="AB61" s="95" t="s">
        <v>495</v>
      </c>
      <c r="AC61" s="95">
        <v>175000</v>
      </c>
      <c r="AD61" s="74">
        <v>175000</v>
      </c>
      <c r="AE61" s="74">
        <v>0</v>
      </c>
    </row>
    <row r="62" spans="1:31">
      <c r="A62" s="74" t="s">
        <v>759</v>
      </c>
      <c r="B62" s="74">
        <v>150</v>
      </c>
      <c r="C62" s="95">
        <v>450</v>
      </c>
      <c r="D62" s="95">
        <v>450</v>
      </c>
      <c r="E62" s="74">
        <v>150</v>
      </c>
      <c r="F62" s="74">
        <v>5</v>
      </c>
      <c r="G62" s="74">
        <v>5</v>
      </c>
      <c r="H62" s="95" t="s">
        <v>704</v>
      </c>
      <c r="I62" s="74">
        <v>22.1</v>
      </c>
      <c r="J62" s="74">
        <v>0.57899999999999996</v>
      </c>
      <c r="K62" s="74">
        <v>26.2</v>
      </c>
      <c r="L62" s="74">
        <v>28</v>
      </c>
      <c r="M62" s="74">
        <v>2810</v>
      </c>
      <c r="N62" s="74">
        <v>9700000</v>
      </c>
      <c r="O62" s="74">
        <v>9700000</v>
      </c>
      <c r="P62" s="74">
        <v>129000</v>
      </c>
      <c r="Q62" s="74">
        <v>129000</v>
      </c>
      <c r="R62" s="74">
        <v>96.2</v>
      </c>
      <c r="S62" s="74">
        <v>151000</v>
      </c>
      <c r="T62" s="74">
        <v>151000</v>
      </c>
      <c r="U62" s="74">
        <v>58.7</v>
      </c>
      <c r="V62" s="74">
        <v>58.7</v>
      </c>
      <c r="W62" s="74">
        <v>15600000</v>
      </c>
      <c r="X62" s="74">
        <v>15600000</v>
      </c>
      <c r="Y62" s="74">
        <v>197</v>
      </c>
      <c r="Z62" s="74">
        <v>1</v>
      </c>
      <c r="AA62" s="74">
        <v>37.6</v>
      </c>
      <c r="AB62" s="95" t="s">
        <v>495</v>
      </c>
      <c r="AC62" s="95">
        <v>135000</v>
      </c>
      <c r="AD62" s="74">
        <v>135000</v>
      </c>
      <c r="AE62" s="74">
        <v>0</v>
      </c>
    </row>
    <row r="63" spans="1:31">
      <c r="A63" s="74" t="s">
        <v>760</v>
      </c>
      <c r="B63" s="74">
        <v>125</v>
      </c>
      <c r="C63" s="95">
        <v>450</v>
      </c>
      <c r="D63" s="95">
        <v>450</v>
      </c>
      <c r="E63" s="74">
        <v>125</v>
      </c>
      <c r="F63" s="74">
        <v>10</v>
      </c>
      <c r="G63" s="74">
        <v>10</v>
      </c>
      <c r="H63" s="95" t="s">
        <v>704</v>
      </c>
      <c r="I63" s="74">
        <v>33.4</v>
      </c>
      <c r="J63" s="74">
        <v>0.45700000000000002</v>
      </c>
      <c r="K63" s="74">
        <v>13.7</v>
      </c>
      <c r="L63" s="74">
        <v>10.5</v>
      </c>
      <c r="M63" s="74">
        <v>4260</v>
      </c>
      <c r="N63" s="74">
        <v>8930000</v>
      </c>
      <c r="O63" s="74">
        <v>8930000</v>
      </c>
      <c r="P63" s="74">
        <v>143000</v>
      </c>
      <c r="Q63" s="74">
        <v>143000</v>
      </c>
      <c r="R63" s="74">
        <v>114</v>
      </c>
      <c r="S63" s="74">
        <v>178000</v>
      </c>
      <c r="T63" s="74">
        <v>178000</v>
      </c>
      <c r="U63" s="74">
        <v>45.8</v>
      </c>
      <c r="V63" s="74">
        <v>45.8</v>
      </c>
      <c r="W63" s="74">
        <v>15700000</v>
      </c>
      <c r="X63" s="74">
        <v>15700000</v>
      </c>
      <c r="Y63" s="74">
        <v>223</v>
      </c>
      <c r="Z63" s="74">
        <v>1</v>
      </c>
      <c r="AA63" s="74">
        <v>14.1</v>
      </c>
      <c r="AB63" s="95" t="s">
        <v>494</v>
      </c>
      <c r="AC63" s="95">
        <v>178000</v>
      </c>
      <c r="AD63" s="74">
        <v>178000</v>
      </c>
      <c r="AE63" s="74">
        <v>0</v>
      </c>
    </row>
    <row r="64" spans="1:31">
      <c r="A64" s="74" t="s">
        <v>761</v>
      </c>
      <c r="B64" s="74">
        <v>125</v>
      </c>
      <c r="C64" s="95">
        <v>450</v>
      </c>
      <c r="D64" s="95">
        <v>450</v>
      </c>
      <c r="E64" s="74">
        <v>125</v>
      </c>
      <c r="F64" s="74">
        <v>9</v>
      </c>
      <c r="G64" s="74">
        <v>9</v>
      </c>
      <c r="H64" s="95" t="s">
        <v>704</v>
      </c>
      <c r="I64" s="74">
        <v>30.6</v>
      </c>
      <c r="J64" s="74">
        <v>0.46100000000000002</v>
      </c>
      <c r="K64" s="74">
        <v>15.1</v>
      </c>
      <c r="L64" s="74">
        <v>11.9</v>
      </c>
      <c r="M64" s="74">
        <v>3900</v>
      </c>
      <c r="N64" s="74">
        <v>8380000.0000000009</v>
      </c>
      <c r="O64" s="74">
        <v>8380000.0000000009</v>
      </c>
      <c r="P64" s="74">
        <v>134000</v>
      </c>
      <c r="Q64" s="74">
        <v>134000</v>
      </c>
      <c r="R64" s="74">
        <v>106</v>
      </c>
      <c r="S64" s="74">
        <v>165000</v>
      </c>
      <c r="T64" s="74">
        <v>165000</v>
      </c>
      <c r="U64" s="74">
        <v>46.4</v>
      </c>
      <c r="V64" s="74">
        <v>46.4</v>
      </c>
      <c r="W64" s="74">
        <v>14500000</v>
      </c>
      <c r="X64" s="74">
        <v>14500000</v>
      </c>
      <c r="Y64" s="74">
        <v>208</v>
      </c>
      <c r="Z64" s="74">
        <v>1</v>
      </c>
      <c r="AA64" s="74">
        <v>16</v>
      </c>
      <c r="AB64" s="95" t="s">
        <v>494</v>
      </c>
      <c r="AC64" s="95">
        <v>165000</v>
      </c>
      <c r="AD64" s="74">
        <v>165000</v>
      </c>
      <c r="AE64" s="74">
        <v>0</v>
      </c>
    </row>
    <row r="65" spans="1:31">
      <c r="A65" s="74" t="s">
        <v>762</v>
      </c>
      <c r="B65" s="74">
        <v>125</v>
      </c>
      <c r="C65" s="95">
        <v>450</v>
      </c>
      <c r="D65" s="95">
        <v>450</v>
      </c>
      <c r="E65" s="74">
        <v>125</v>
      </c>
      <c r="F65" s="74">
        <v>8</v>
      </c>
      <c r="G65" s="74">
        <v>8</v>
      </c>
      <c r="H65" s="95" t="s">
        <v>704</v>
      </c>
      <c r="I65" s="74">
        <v>27.7</v>
      </c>
      <c r="J65" s="74">
        <v>0.46600000000000003</v>
      </c>
      <c r="K65" s="74">
        <v>16.8</v>
      </c>
      <c r="L65" s="74">
        <v>13.6</v>
      </c>
      <c r="M65" s="74">
        <v>3520</v>
      </c>
      <c r="N65" s="74">
        <v>7750000</v>
      </c>
      <c r="O65" s="74">
        <v>7750000</v>
      </c>
      <c r="P65" s="74">
        <v>124000</v>
      </c>
      <c r="Q65" s="74">
        <v>124000</v>
      </c>
      <c r="R65" s="74">
        <v>96.8</v>
      </c>
      <c r="S65" s="74">
        <v>151000</v>
      </c>
      <c r="T65" s="74">
        <v>151000</v>
      </c>
      <c r="U65" s="74">
        <v>46.9</v>
      </c>
      <c r="V65" s="74">
        <v>46.9</v>
      </c>
      <c r="W65" s="74">
        <v>13300000</v>
      </c>
      <c r="X65" s="74">
        <v>13300000</v>
      </c>
      <c r="Y65" s="74">
        <v>192</v>
      </c>
      <c r="Z65" s="74">
        <v>1</v>
      </c>
      <c r="AA65" s="74">
        <v>18.3</v>
      </c>
      <c r="AB65" s="95" t="s">
        <v>494</v>
      </c>
      <c r="AC65" s="95">
        <v>151000</v>
      </c>
      <c r="AD65" s="74">
        <v>151000</v>
      </c>
      <c r="AE65" s="74">
        <v>0</v>
      </c>
    </row>
    <row r="66" spans="1:31">
      <c r="A66" s="74" t="s">
        <v>763</v>
      </c>
      <c r="B66" s="74">
        <v>125</v>
      </c>
      <c r="C66" s="95">
        <v>450</v>
      </c>
      <c r="D66" s="95">
        <v>450</v>
      </c>
      <c r="E66" s="74">
        <v>125</v>
      </c>
      <c r="F66" s="74">
        <v>6</v>
      </c>
      <c r="G66" s="74">
        <v>6</v>
      </c>
      <c r="H66" s="95" t="s">
        <v>704</v>
      </c>
      <c r="I66" s="74">
        <v>21.4</v>
      </c>
      <c r="J66" s="74">
        <v>0.47399999999999998</v>
      </c>
      <c r="K66" s="74">
        <v>22.1</v>
      </c>
      <c r="L66" s="74">
        <v>18.8</v>
      </c>
      <c r="M66" s="74">
        <v>2730</v>
      </c>
      <c r="N66" s="74">
        <v>6290000</v>
      </c>
      <c r="O66" s="74">
        <v>6290000</v>
      </c>
      <c r="P66" s="74">
        <v>101000</v>
      </c>
      <c r="Q66" s="74">
        <v>101000</v>
      </c>
      <c r="R66" s="74">
        <v>76.5</v>
      </c>
      <c r="S66" s="74">
        <v>120000</v>
      </c>
      <c r="T66" s="74">
        <v>120000</v>
      </c>
      <c r="U66" s="74">
        <v>48</v>
      </c>
      <c r="V66" s="74">
        <v>48</v>
      </c>
      <c r="W66" s="74">
        <v>10400000</v>
      </c>
      <c r="X66" s="74">
        <v>10400000</v>
      </c>
      <c r="Y66" s="74">
        <v>154</v>
      </c>
      <c r="Z66" s="74">
        <v>1</v>
      </c>
      <c r="AA66" s="74">
        <v>25.3</v>
      </c>
      <c r="AB66" s="95" t="s">
        <v>494</v>
      </c>
      <c r="AC66" s="95">
        <v>120000</v>
      </c>
      <c r="AD66" s="74">
        <v>120000</v>
      </c>
      <c r="AE66" s="74">
        <v>0</v>
      </c>
    </row>
    <row r="67" spans="1:31">
      <c r="A67" s="74" t="s">
        <v>764</v>
      </c>
      <c r="B67" s="74">
        <v>125</v>
      </c>
      <c r="C67" s="95">
        <v>450</v>
      </c>
      <c r="D67" s="95">
        <v>450</v>
      </c>
      <c r="E67" s="74">
        <v>125</v>
      </c>
      <c r="F67" s="74">
        <v>5</v>
      </c>
      <c r="G67" s="74">
        <v>5</v>
      </c>
      <c r="H67" s="95" t="s">
        <v>704</v>
      </c>
      <c r="I67" s="74">
        <v>18.2</v>
      </c>
      <c r="J67" s="74">
        <v>0.47899999999999998</v>
      </c>
      <c r="K67" s="74">
        <v>26.3</v>
      </c>
      <c r="L67" s="74">
        <v>23</v>
      </c>
      <c r="M67" s="74">
        <v>2310</v>
      </c>
      <c r="N67" s="74">
        <v>5440000</v>
      </c>
      <c r="O67" s="74">
        <v>5440000</v>
      </c>
      <c r="P67" s="74">
        <v>87100</v>
      </c>
      <c r="Q67" s="74">
        <v>87100</v>
      </c>
      <c r="R67" s="74">
        <v>65.400000000000006</v>
      </c>
      <c r="S67" s="74">
        <v>103000</v>
      </c>
      <c r="T67" s="74">
        <v>103000</v>
      </c>
      <c r="U67" s="74">
        <v>48.5</v>
      </c>
      <c r="V67" s="74">
        <v>48.5</v>
      </c>
      <c r="W67" s="74">
        <v>8870000</v>
      </c>
      <c r="X67" s="74">
        <v>8870000</v>
      </c>
      <c r="Y67" s="74">
        <v>133</v>
      </c>
      <c r="Z67" s="74">
        <v>1</v>
      </c>
      <c r="AA67" s="74">
        <v>30.9</v>
      </c>
      <c r="AB67" s="95" t="s">
        <v>495</v>
      </c>
      <c r="AC67" s="95">
        <v>101000</v>
      </c>
      <c r="AD67" s="74">
        <v>101000</v>
      </c>
      <c r="AE67" s="74">
        <v>0</v>
      </c>
    </row>
    <row r="68" spans="1:31">
      <c r="A68" s="74" t="s">
        <v>765</v>
      </c>
      <c r="B68" s="74">
        <v>125</v>
      </c>
      <c r="C68" s="95">
        <v>450</v>
      </c>
      <c r="D68" s="95">
        <v>450</v>
      </c>
      <c r="E68" s="74">
        <v>125</v>
      </c>
      <c r="F68" s="74">
        <v>4</v>
      </c>
      <c r="G68" s="74">
        <v>4</v>
      </c>
      <c r="H68" s="95" t="s">
        <v>704</v>
      </c>
      <c r="I68" s="74">
        <v>14.8</v>
      </c>
      <c r="J68" s="74">
        <v>0.48299999999999998</v>
      </c>
      <c r="K68" s="74">
        <v>32.700000000000003</v>
      </c>
      <c r="L68" s="74">
        <v>29.3</v>
      </c>
      <c r="M68" s="74">
        <v>1880</v>
      </c>
      <c r="N68" s="74">
        <v>4520000</v>
      </c>
      <c r="O68" s="74">
        <v>4520000</v>
      </c>
      <c r="P68" s="74">
        <v>72300</v>
      </c>
      <c r="Q68" s="74">
        <v>72300</v>
      </c>
      <c r="R68" s="74">
        <v>53.6</v>
      </c>
      <c r="S68" s="74">
        <v>84500</v>
      </c>
      <c r="T68" s="74">
        <v>84500</v>
      </c>
      <c r="U68" s="74">
        <v>49</v>
      </c>
      <c r="V68" s="74">
        <v>49</v>
      </c>
      <c r="W68" s="74">
        <v>7250000</v>
      </c>
      <c r="X68" s="74">
        <v>7250000</v>
      </c>
      <c r="Y68" s="74">
        <v>110</v>
      </c>
      <c r="Z68" s="74">
        <v>1</v>
      </c>
      <c r="AA68" s="74">
        <v>39.200000000000003</v>
      </c>
      <c r="AB68" s="95" t="s">
        <v>495</v>
      </c>
      <c r="AC68" s="95">
        <v>73200</v>
      </c>
      <c r="AD68" s="74">
        <v>73200</v>
      </c>
      <c r="AE68" s="74">
        <v>0</v>
      </c>
    </row>
    <row r="69" spans="1:31">
      <c r="A69" s="74" t="s">
        <v>766</v>
      </c>
      <c r="B69" s="74">
        <v>100</v>
      </c>
      <c r="C69" s="95">
        <v>450</v>
      </c>
      <c r="D69" s="95">
        <v>450</v>
      </c>
      <c r="E69" s="74">
        <v>100</v>
      </c>
      <c r="F69" s="74">
        <v>10</v>
      </c>
      <c r="G69" s="74">
        <v>10</v>
      </c>
      <c r="H69" s="95" t="s">
        <v>704</v>
      </c>
      <c r="I69" s="74">
        <v>25.6</v>
      </c>
      <c r="J69" s="74">
        <v>0.35699999999999998</v>
      </c>
      <c r="K69" s="74">
        <v>14</v>
      </c>
      <c r="L69" s="74">
        <v>8</v>
      </c>
      <c r="M69" s="74">
        <v>3260</v>
      </c>
      <c r="N69" s="74">
        <v>4110000.0000000005</v>
      </c>
      <c r="O69" s="74">
        <v>4110000.0000000005</v>
      </c>
      <c r="P69" s="74">
        <v>82200</v>
      </c>
      <c r="Q69" s="74">
        <v>82200</v>
      </c>
      <c r="R69" s="74">
        <v>68.099999999999994</v>
      </c>
      <c r="S69" s="74">
        <v>105000</v>
      </c>
      <c r="T69" s="74">
        <v>105000</v>
      </c>
      <c r="U69" s="74">
        <v>35.5</v>
      </c>
      <c r="V69" s="74">
        <v>35.5</v>
      </c>
      <c r="W69" s="74">
        <v>7500000</v>
      </c>
      <c r="X69" s="74">
        <v>7500000</v>
      </c>
      <c r="Y69" s="74">
        <v>130</v>
      </c>
      <c r="Z69" s="74">
        <v>1</v>
      </c>
      <c r="AA69" s="74">
        <v>10.7</v>
      </c>
      <c r="AB69" s="95" t="s">
        <v>494</v>
      </c>
      <c r="AC69" s="95">
        <v>105000</v>
      </c>
      <c r="AD69" s="74">
        <v>105000</v>
      </c>
      <c r="AE69" s="74">
        <v>0</v>
      </c>
    </row>
    <row r="70" spans="1:31">
      <c r="A70" s="74" t="s">
        <v>767</v>
      </c>
      <c r="B70" s="74">
        <v>100</v>
      </c>
      <c r="C70" s="95">
        <v>450</v>
      </c>
      <c r="D70" s="95">
        <v>450</v>
      </c>
      <c r="E70" s="74">
        <v>100</v>
      </c>
      <c r="F70" s="74">
        <v>9</v>
      </c>
      <c r="G70" s="74">
        <v>9</v>
      </c>
      <c r="H70" s="95" t="s">
        <v>704</v>
      </c>
      <c r="I70" s="74">
        <v>23.5</v>
      </c>
      <c r="J70" s="74">
        <v>0.36099999999999999</v>
      </c>
      <c r="K70" s="74">
        <v>15.4</v>
      </c>
      <c r="L70" s="74">
        <v>9.11</v>
      </c>
      <c r="M70" s="74">
        <v>3000</v>
      </c>
      <c r="N70" s="74">
        <v>3910000</v>
      </c>
      <c r="O70" s="74">
        <v>3910000</v>
      </c>
      <c r="P70" s="74">
        <v>78100</v>
      </c>
      <c r="Q70" s="74">
        <v>78100</v>
      </c>
      <c r="R70" s="74">
        <v>63.6</v>
      </c>
      <c r="S70" s="74">
        <v>98600</v>
      </c>
      <c r="T70" s="74">
        <v>98600</v>
      </c>
      <c r="U70" s="74">
        <v>36.1</v>
      </c>
      <c r="V70" s="74">
        <v>36.1</v>
      </c>
      <c r="W70" s="74">
        <v>7000000</v>
      </c>
      <c r="X70" s="74">
        <v>7000000</v>
      </c>
      <c r="Y70" s="74">
        <v>123</v>
      </c>
      <c r="Z70" s="74">
        <v>1</v>
      </c>
      <c r="AA70" s="74">
        <v>12.2</v>
      </c>
      <c r="AB70" s="95" t="s">
        <v>494</v>
      </c>
      <c r="AC70" s="95">
        <v>98600</v>
      </c>
      <c r="AD70" s="74">
        <v>98600</v>
      </c>
      <c r="AE70" s="74">
        <v>0</v>
      </c>
    </row>
    <row r="71" spans="1:31">
      <c r="A71" s="74" t="s">
        <v>768</v>
      </c>
      <c r="B71" s="74">
        <v>100</v>
      </c>
      <c r="C71" s="95">
        <v>450</v>
      </c>
      <c r="D71" s="95">
        <v>450</v>
      </c>
      <c r="E71" s="74">
        <v>100</v>
      </c>
      <c r="F71" s="74">
        <v>8</v>
      </c>
      <c r="G71" s="74">
        <v>8</v>
      </c>
      <c r="H71" s="95" t="s">
        <v>704</v>
      </c>
      <c r="I71" s="74">
        <v>21.4</v>
      </c>
      <c r="J71" s="74">
        <v>0.36599999999999999</v>
      </c>
      <c r="K71" s="74">
        <v>17.100000000000001</v>
      </c>
      <c r="L71" s="74">
        <v>10.5</v>
      </c>
      <c r="M71" s="74">
        <v>2720</v>
      </c>
      <c r="N71" s="74">
        <v>3660000</v>
      </c>
      <c r="O71" s="74">
        <v>3660000</v>
      </c>
      <c r="P71" s="74">
        <v>73200</v>
      </c>
      <c r="Q71" s="74">
        <v>73200</v>
      </c>
      <c r="R71" s="74">
        <v>58.6</v>
      </c>
      <c r="S71" s="74">
        <v>91100</v>
      </c>
      <c r="T71" s="74">
        <v>91100</v>
      </c>
      <c r="U71" s="74">
        <v>36.700000000000003</v>
      </c>
      <c r="V71" s="74">
        <v>36.700000000000003</v>
      </c>
      <c r="W71" s="74">
        <v>6450000</v>
      </c>
      <c r="X71" s="74">
        <v>6450000</v>
      </c>
      <c r="Y71" s="74">
        <v>114</v>
      </c>
      <c r="Z71" s="74">
        <v>1</v>
      </c>
      <c r="AA71" s="74">
        <v>14.1</v>
      </c>
      <c r="AB71" s="95" t="s">
        <v>494</v>
      </c>
      <c r="AC71" s="95">
        <v>91100</v>
      </c>
      <c r="AD71" s="74">
        <v>91100</v>
      </c>
      <c r="AE71" s="74">
        <v>0</v>
      </c>
    </row>
    <row r="72" spans="1:31">
      <c r="A72" s="74" t="s">
        <v>769</v>
      </c>
      <c r="B72" s="74">
        <v>100</v>
      </c>
      <c r="C72" s="95">
        <v>450</v>
      </c>
      <c r="D72" s="95">
        <v>450</v>
      </c>
      <c r="E72" s="74">
        <v>100</v>
      </c>
      <c r="F72" s="74">
        <v>6</v>
      </c>
      <c r="G72" s="74">
        <v>6</v>
      </c>
      <c r="H72" s="95" t="s">
        <v>704</v>
      </c>
      <c r="I72" s="74">
        <v>16.7</v>
      </c>
      <c r="J72" s="74">
        <v>0.374</v>
      </c>
      <c r="K72" s="74">
        <v>22.4</v>
      </c>
      <c r="L72" s="74">
        <v>14.7</v>
      </c>
      <c r="M72" s="74">
        <v>2130</v>
      </c>
      <c r="N72" s="74">
        <v>3040000</v>
      </c>
      <c r="O72" s="74">
        <v>3040000</v>
      </c>
      <c r="P72" s="74">
        <v>60700</v>
      </c>
      <c r="Q72" s="74">
        <v>60700</v>
      </c>
      <c r="R72" s="74">
        <v>47.1</v>
      </c>
      <c r="S72" s="74">
        <v>73500</v>
      </c>
      <c r="T72" s="74">
        <v>73500</v>
      </c>
      <c r="U72" s="74">
        <v>37.700000000000003</v>
      </c>
      <c r="V72" s="74">
        <v>37.700000000000003</v>
      </c>
      <c r="W72" s="74">
        <v>5150000</v>
      </c>
      <c r="X72" s="74">
        <v>5150000</v>
      </c>
      <c r="Y72" s="74">
        <v>93.6</v>
      </c>
      <c r="Z72" s="74">
        <v>1</v>
      </c>
      <c r="AA72" s="74">
        <v>19.7</v>
      </c>
      <c r="AB72" s="95" t="s">
        <v>494</v>
      </c>
      <c r="AC72" s="95">
        <v>73500</v>
      </c>
      <c r="AD72" s="74">
        <v>73500</v>
      </c>
      <c r="AE72" s="74">
        <v>0</v>
      </c>
    </row>
    <row r="73" spans="1:31">
      <c r="A73" s="74" t="s">
        <v>770</v>
      </c>
      <c r="B73" s="74">
        <v>100</v>
      </c>
      <c r="C73" s="95">
        <v>450</v>
      </c>
      <c r="D73" s="95">
        <v>450</v>
      </c>
      <c r="E73" s="74">
        <v>100</v>
      </c>
      <c r="F73" s="74">
        <v>5</v>
      </c>
      <c r="G73" s="74">
        <v>5</v>
      </c>
      <c r="H73" s="95" t="s">
        <v>704</v>
      </c>
      <c r="I73" s="74">
        <v>14.2</v>
      </c>
      <c r="J73" s="74">
        <v>0.379</v>
      </c>
      <c r="K73" s="74">
        <v>26.6</v>
      </c>
      <c r="L73" s="74">
        <v>18</v>
      </c>
      <c r="M73" s="74">
        <v>1810</v>
      </c>
      <c r="N73" s="74">
        <v>2660000</v>
      </c>
      <c r="O73" s="74">
        <v>2660000</v>
      </c>
      <c r="P73" s="74">
        <v>53100</v>
      </c>
      <c r="Q73" s="74">
        <v>53100</v>
      </c>
      <c r="R73" s="74">
        <v>40.5</v>
      </c>
      <c r="S73" s="74">
        <v>63500</v>
      </c>
      <c r="T73" s="74">
        <v>63500</v>
      </c>
      <c r="U73" s="74">
        <v>38.299999999999997</v>
      </c>
      <c r="V73" s="74">
        <v>38.299999999999997</v>
      </c>
      <c r="W73" s="74">
        <v>4420000</v>
      </c>
      <c r="X73" s="74">
        <v>4420000</v>
      </c>
      <c r="Y73" s="74">
        <v>81.400000000000006</v>
      </c>
      <c r="Z73" s="74">
        <v>1</v>
      </c>
      <c r="AA73" s="74">
        <v>24.1</v>
      </c>
      <c r="AB73" s="95" t="s">
        <v>494</v>
      </c>
      <c r="AC73" s="95">
        <v>63500</v>
      </c>
      <c r="AD73" s="74">
        <v>63500</v>
      </c>
      <c r="AE73" s="74">
        <v>0</v>
      </c>
    </row>
    <row r="74" spans="1:31">
      <c r="A74" s="74" t="s">
        <v>771</v>
      </c>
      <c r="B74" s="74">
        <v>100</v>
      </c>
      <c r="C74" s="95">
        <v>450</v>
      </c>
      <c r="D74" s="95">
        <v>450</v>
      </c>
      <c r="E74" s="74">
        <v>100</v>
      </c>
      <c r="F74" s="74">
        <v>4</v>
      </c>
      <c r="G74" s="74">
        <v>4</v>
      </c>
      <c r="H74" s="95" t="s">
        <v>704</v>
      </c>
      <c r="I74" s="74">
        <v>11.6</v>
      </c>
      <c r="J74" s="74">
        <v>0.38300000000000001</v>
      </c>
      <c r="K74" s="74">
        <v>32.9</v>
      </c>
      <c r="L74" s="74">
        <v>23</v>
      </c>
      <c r="M74" s="74">
        <v>1480</v>
      </c>
      <c r="N74" s="74">
        <v>2230000</v>
      </c>
      <c r="O74" s="74">
        <v>2230000</v>
      </c>
      <c r="P74" s="74">
        <v>44600</v>
      </c>
      <c r="Q74" s="74">
        <v>44600</v>
      </c>
      <c r="R74" s="74">
        <v>33.5</v>
      </c>
      <c r="S74" s="74">
        <v>52600</v>
      </c>
      <c r="T74" s="74">
        <v>52600</v>
      </c>
      <c r="U74" s="74">
        <v>38.799999999999997</v>
      </c>
      <c r="V74" s="74">
        <v>38.799999999999997</v>
      </c>
      <c r="W74" s="74">
        <v>3630000</v>
      </c>
      <c r="X74" s="74">
        <v>3630000</v>
      </c>
      <c r="Y74" s="74">
        <v>68</v>
      </c>
      <c r="Z74" s="74">
        <v>1</v>
      </c>
      <c r="AA74" s="74">
        <v>30.9</v>
      </c>
      <c r="AB74" s="95" t="s">
        <v>495</v>
      </c>
      <c r="AC74" s="95">
        <v>51900</v>
      </c>
      <c r="AD74" s="74">
        <v>51900</v>
      </c>
      <c r="AE74" s="74">
        <v>0</v>
      </c>
    </row>
    <row r="75" spans="1:31">
      <c r="A75" s="74" t="s">
        <v>772</v>
      </c>
      <c r="B75" s="74">
        <v>100</v>
      </c>
      <c r="C75" s="95">
        <v>450</v>
      </c>
      <c r="D75" s="95">
        <v>450</v>
      </c>
      <c r="E75" s="74">
        <v>100</v>
      </c>
      <c r="F75" s="74">
        <v>3</v>
      </c>
      <c r="G75" s="74">
        <v>3</v>
      </c>
      <c r="H75" s="95" t="s">
        <v>704</v>
      </c>
      <c r="I75" s="74">
        <v>8.9600000000000009</v>
      </c>
      <c r="J75" s="74">
        <v>0.39</v>
      </c>
      <c r="K75" s="74">
        <v>43.5</v>
      </c>
      <c r="L75" s="74">
        <v>31.3</v>
      </c>
      <c r="M75" s="74">
        <v>1140</v>
      </c>
      <c r="N75" s="74">
        <v>1770000</v>
      </c>
      <c r="O75" s="74">
        <v>1770000</v>
      </c>
      <c r="P75" s="74">
        <v>35400</v>
      </c>
      <c r="Q75" s="74">
        <v>35400</v>
      </c>
      <c r="R75" s="74">
        <v>26</v>
      </c>
      <c r="S75" s="74">
        <v>41200</v>
      </c>
      <c r="T75" s="74">
        <v>41200</v>
      </c>
      <c r="U75" s="74">
        <v>39.4</v>
      </c>
      <c r="V75" s="74">
        <v>39.4</v>
      </c>
      <c r="W75" s="74">
        <v>2790000</v>
      </c>
      <c r="X75" s="74">
        <v>2790000</v>
      </c>
      <c r="Y75" s="74">
        <v>53.2</v>
      </c>
      <c r="Z75" s="74">
        <v>0.95199999999999996</v>
      </c>
      <c r="AA75" s="74">
        <v>42</v>
      </c>
      <c r="AB75" s="95" t="s">
        <v>496</v>
      </c>
      <c r="AC75" s="95">
        <v>34400</v>
      </c>
      <c r="AD75" s="74">
        <v>34400</v>
      </c>
      <c r="AE75" s="74">
        <v>0</v>
      </c>
    </row>
    <row r="76" spans="1:31">
      <c r="A76" s="74" t="s">
        <v>773</v>
      </c>
      <c r="B76" s="74">
        <v>100</v>
      </c>
      <c r="C76" s="95">
        <v>450</v>
      </c>
      <c r="D76" s="95">
        <v>450</v>
      </c>
      <c r="E76" s="74">
        <v>100</v>
      </c>
      <c r="F76" s="74">
        <v>2.5</v>
      </c>
      <c r="G76" s="74">
        <v>2.5</v>
      </c>
      <c r="H76" s="95" t="s">
        <v>704</v>
      </c>
      <c r="I76" s="74">
        <v>7.53</v>
      </c>
      <c r="J76" s="74">
        <v>0.39100000000000001</v>
      </c>
      <c r="K76" s="74">
        <v>52</v>
      </c>
      <c r="L76" s="74">
        <v>38</v>
      </c>
      <c r="M76" s="74">
        <v>959</v>
      </c>
      <c r="N76" s="74">
        <v>1510000</v>
      </c>
      <c r="O76" s="74">
        <v>1510000</v>
      </c>
      <c r="P76" s="74">
        <v>30100</v>
      </c>
      <c r="Q76" s="74">
        <v>30100</v>
      </c>
      <c r="R76" s="74">
        <v>21.9</v>
      </c>
      <c r="S76" s="74">
        <v>34900</v>
      </c>
      <c r="T76" s="74">
        <v>34900</v>
      </c>
      <c r="U76" s="74">
        <v>39.6</v>
      </c>
      <c r="V76" s="74">
        <v>39.6</v>
      </c>
      <c r="W76" s="74">
        <v>2350000</v>
      </c>
      <c r="X76" s="74">
        <v>2350000</v>
      </c>
      <c r="Y76" s="74">
        <v>45.2</v>
      </c>
      <c r="Z76" s="74">
        <v>0.78700000000000003</v>
      </c>
      <c r="AA76" s="74">
        <v>51</v>
      </c>
      <c r="AB76" s="95" t="s">
        <v>496</v>
      </c>
      <c r="AC76" s="95">
        <v>26100</v>
      </c>
      <c r="AD76" s="74">
        <v>26100</v>
      </c>
      <c r="AE76" s="74">
        <v>0</v>
      </c>
    </row>
    <row r="77" spans="1:31">
      <c r="A77" s="74" t="s">
        <v>774</v>
      </c>
      <c r="B77" s="74">
        <v>100</v>
      </c>
      <c r="C77" s="95">
        <v>450</v>
      </c>
      <c r="D77" s="95">
        <v>450</v>
      </c>
      <c r="E77" s="74">
        <v>100</v>
      </c>
      <c r="F77" s="74">
        <v>2</v>
      </c>
      <c r="G77" s="74">
        <v>2</v>
      </c>
      <c r="H77" s="95" t="s">
        <v>704</v>
      </c>
      <c r="I77" s="74">
        <v>6.07</v>
      </c>
      <c r="J77" s="74">
        <v>0.39300000000000002</v>
      </c>
      <c r="K77" s="74">
        <v>64.7</v>
      </c>
      <c r="L77" s="74">
        <v>48</v>
      </c>
      <c r="M77" s="74">
        <v>774</v>
      </c>
      <c r="N77" s="74">
        <v>1230000</v>
      </c>
      <c r="O77" s="74">
        <v>1230000</v>
      </c>
      <c r="P77" s="74">
        <v>24600</v>
      </c>
      <c r="Q77" s="74">
        <v>24600</v>
      </c>
      <c r="R77" s="74">
        <v>17.8</v>
      </c>
      <c r="S77" s="74">
        <v>28300</v>
      </c>
      <c r="T77" s="74">
        <v>28300</v>
      </c>
      <c r="U77" s="74">
        <v>39.9</v>
      </c>
      <c r="V77" s="74">
        <v>39.9</v>
      </c>
      <c r="W77" s="74">
        <v>1910000</v>
      </c>
      <c r="X77" s="74">
        <v>1910000</v>
      </c>
      <c r="Y77" s="74">
        <v>36.9</v>
      </c>
      <c r="Z77" s="74">
        <v>0.624</v>
      </c>
      <c r="AA77" s="74">
        <v>64.400000000000006</v>
      </c>
      <c r="AB77" s="95" t="s">
        <v>496</v>
      </c>
      <c r="AC77" s="95">
        <v>18800</v>
      </c>
      <c r="AD77" s="74">
        <v>18800</v>
      </c>
      <c r="AE77" s="74">
        <v>0</v>
      </c>
    </row>
    <row r="78" spans="1:31">
      <c r="A78" s="74" t="s">
        <v>775</v>
      </c>
      <c r="B78" s="74">
        <v>90</v>
      </c>
      <c r="C78" s="95">
        <v>450</v>
      </c>
      <c r="D78" s="95">
        <v>450</v>
      </c>
      <c r="E78" s="74">
        <v>90</v>
      </c>
      <c r="F78" s="74">
        <v>2.5</v>
      </c>
      <c r="G78" s="74">
        <v>2.5</v>
      </c>
      <c r="H78" s="95" t="s">
        <v>704</v>
      </c>
      <c r="I78" s="74">
        <v>6.74</v>
      </c>
      <c r="J78" s="74">
        <v>0.35099999999999998</v>
      </c>
      <c r="K78" s="74">
        <v>52.1</v>
      </c>
      <c r="L78" s="74">
        <v>34</v>
      </c>
      <c r="M78" s="74">
        <v>859</v>
      </c>
      <c r="N78" s="74">
        <v>1090000</v>
      </c>
      <c r="O78" s="74">
        <v>1090000</v>
      </c>
      <c r="P78" s="74">
        <v>24100</v>
      </c>
      <c r="Q78" s="74">
        <v>24100</v>
      </c>
      <c r="R78" s="74">
        <v>17.600000000000001</v>
      </c>
      <c r="S78" s="74">
        <v>28000</v>
      </c>
      <c r="T78" s="74">
        <v>28000</v>
      </c>
      <c r="U78" s="74">
        <v>35.6</v>
      </c>
      <c r="V78" s="74">
        <v>35.6</v>
      </c>
      <c r="W78" s="74">
        <v>1700000</v>
      </c>
      <c r="X78" s="74">
        <v>1700000</v>
      </c>
      <c r="Y78" s="74">
        <v>36.200000000000003</v>
      </c>
      <c r="Z78" s="74">
        <v>0.878</v>
      </c>
      <c r="AA78" s="74">
        <v>45.6</v>
      </c>
      <c r="AB78" s="95" t="s">
        <v>496</v>
      </c>
      <c r="AC78" s="95">
        <v>22300</v>
      </c>
      <c r="AD78" s="74">
        <v>22300</v>
      </c>
      <c r="AE78" s="74">
        <v>0</v>
      </c>
    </row>
    <row r="79" spans="1:31">
      <c r="A79" s="74" t="s">
        <v>776</v>
      </c>
      <c r="B79" s="74">
        <v>90</v>
      </c>
      <c r="C79" s="95">
        <v>450</v>
      </c>
      <c r="D79" s="95">
        <v>450</v>
      </c>
      <c r="E79" s="74">
        <v>90</v>
      </c>
      <c r="F79" s="74">
        <v>2</v>
      </c>
      <c r="G79" s="74">
        <v>2</v>
      </c>
      <c r="H79" s="95" t="s">
        <v>704</v>
      </c>
      <c r="I79" s="74">
        <v>5.45</v>
      </c>
      <c r="J79" s="74">
        <v>0.35299999999999998</v>
      </c>
      <c r="K79" s="74">
        <v>64.8</v>
      </c>
      <c r="L79" s="74">
        <v>43</v>
      </c>
      <c r="M79" s="74">
        <v>694</v>
      </c>
      <c r="N79" s="74">
        <v>889000</v>
      </c>
      <c r="O79" s="74">
        <v>889000</v>
      </c>
      <c r="P79" s="74">
        <v>19700</v>
      </c>
      <c r="Q79" s="74">
        <v>19700</v>
      </c>
      <c r="R79" s="74">
        <v>14.3</v>
      </c>
      <c r="S79" s="74">
        <v>22800</v>
      </c>
      <c r="T79" s="74">
        <v>22800</v>
      </c>
      <c r="U79" s="74">
        <v>35.799999999999997</v>
      </c>
      <c r="V79" s="74">
        <v>35.799999999999997</v>
      </c>
      <c r="W79" s="74">
        <v>1380000</v>
      </c>
      <c r="X79" s="74">
        <v>1380000</v>
      </c>
      <c r="Y79" s="74">
        <v>29.6</v>
      </c>
      <c r="Z79" s="74">
        <v>0.69599999999999995</v>
      </c>
      <c r="AA79" s="74">
        <v>57.7</v>
      </c>
      <c r="AB79" s="95" t="s">
        <v>496</v>
      </c>
      <c r="AC79" s="95">
        <v>16000</v>
      </c>
      <c r="AD79" s="74">
        <v>16000</v>
      </c>
      <c r="AE79" s="74">
        <v>0</v>
      </c>
    </row>
    <row r="80" spans="1:31">
      <c r="A80" s="74" t="s">
        <v>777</v>
      </c>
      <c r="B80" s="74">
        <v>89</v>
      </c>
      <c r="C80" s="95">
        <v>450</v>
      </c>
      <c r="D80" s="95">
        <v>450</v>
      </c>
      <c r="E80" s="74">
        <v>89</v>
      </c>
      <c r="F80" s="74">
        <v>6</v>
      </c>
      <c r="G80" s="74">
        <v>6</v>
      </c>
      <c r="H80" s="95" t="s">
        <v>704</v>
      </c>
      <c r="I80" s="74">
        <v>14.7</v>
      </c>
      <c r="J80" s="74">
        <v>0.33</v>
      </c>
      <c r="K80" s="74">
        <v>22.5</v>
      </c>
      <c r="L80" s="74">
        <v>12.8</v>
      </c>
      <c r="M80" s="74">
        <v>1870</v>
      </c>
      <c r="N80" s="74">
        <v>2060000</v>
      </c>
      <c r="O80" s="74">
        <v>2060000</v>
      </c>
      <c r="P80" s="74">
        <v>46400</v>
      </c>
      <c r="Q80" s="74">
        <v>46400</v>
      </c>
      <c r="R80" s="74">
        <v>36.4</v>
      </c>
      <c r="S80" s="74">
        <v>56700</v>
      </c>
      <c r="T80" s="74">
        <v>56700</v>
      </c>
      <c r="U80" s="74">
        <v>33.200000000000003</v>
      </c>
      <c r="V80" s="74">
        <v>33.200000000000003</v>
      </c>
      <c r="W80" s="74">
        <v>3550000</v>
      </c>
      <c r="X80" s="74">
        <v>3550000</v>
      </c>
      <c r="Y80" s="74">
        <v>71.8</v>
      </c>
      <c r="Z80" s="74">
        <v>1</v>
      </c>
      <c r="AA80" s="74">
        <v>17.2</v>
      </c>
      <c r="AB80" s="95" t="s">
        <v>494</v>
      </c>
      <c r="AC80" s="95">
        <v>56700</v>
      </c>
      <c r="AD80" s="74">
        <v>56700</v>
      </c>
      <c r="AE80" s="74">
        <v>0</v>
      </c>
    </row>
    <row r="81" spans="1:31">
      <c r="A81" s="74" t="s">
        <v>778</v>
      </c>
      <c r="B81" s="74">
        <v>89</v>
      </c>
      <c r="C81" s="95">
        <v>450</v>
      </c>
      <c r="D81" s="95">
        <v>450</v>
      </c>
      <c r="E81" s="74">
        <v>89</v>
      </c>
      <c r="F81" s="74">
        <v>5</v>
      </c>
      <c r="G81" s="74">
        <v>5</v>
      </c>
      <c r="H81" s="95" t="s">
        <v>704</v>
      </c>
      <c r="I81" s="74">
        <v>12.5</v>
      </c>
      <c r="J81" s="74">
        <v>0.33500000000000002</v>
      </c>
      <c r="K81" s="74">
        <v>26.7</v>
      </c>
      <c r="L81" s="74">
        <v>15.8</v>
      </c>
      <c r="M81" s="74">
        <v>1590</v>
      </c>
      <c r="N81" s="74">
        <v>1820000</v>
      </c>
      <c r="O81" s="74">
        <v>1820000</v>
      </c>
      <c r="P81" s="74">
        <v>40800</v>
      </c>
      <c r="Q81" s="74">
        <v>40800</v>
      </c>
      <c r="R81" s="74">
        <v>31.5</v>
      </c>
      <c r="S81" s="74">
        <v>49200</v>
      </c>
      <c r="T81" s="74">
        <v>49200</v>
      </c>
      <c r="U81" s="74">
        <v>33.799999999999997</v>
      </c>
      <c r="V81" s="74">
        <v>33.799999999999997</v>
      </c>
      <c r="W81" s="74">
        <v>3060000</v>
      </c>
      <c r="X81" s="74">
        <v>3060000</v>
      </c>
      <c r="Y81" s="74">
        <v>62.8</v>
      </c>
      <c r="Z81" s="74">
        <v>1</v>
      </c>
      <c r="AA81" s="74">
        <v>21.2</v>
      </c>
      <c r="AB81" s="95" t="s">
        <v>494</v>
      </c>
      <c r="AC81" s="95">
        <v>49200</v>
      </c>
      <c r="AD81" s="74">
        <v>49200</v>
      </c>
      <c r="AE81" s="74">
        <v>0</v>
      </c>
    </row>
    <row r="82" spans="1:31">
      <c r="A82" s="74" t="s">
        <v>779</v>
      </c>
      <c r="B82" s="74">
        <v>89</v>
      </c>
      <c r="C82" s="95">
        <v>450</v>
      </c>
      <c r="D82" s="95">
        <v>450</v>
      </c>
      <c r="E82" s="74">
        <v>89</v>
      </c>
      <c r="F82" s="74">
        <v>3.5</v>
      </c>
      <c r="G82" s="74">
        <v>3.5</v>
      </c>
      <c r="H82" s="95" t="s">
        <v>704</v>
      </c>
      <c r="I82" s="74">
        <v>9.07</v>
      </c>
      <c r="J82" s="74">
        <v>0.34100000000000003</v>
      </c>
      <c r="K82" s="74">
        <v>37.6</v>
      </c>
      <c r="L82" s="74">
        <v>23.4</v>
      </c>
      <c r="M82" s="74">
        <v>1150</v>
      </c>
      <c r="N82" s="74">
        <v>1380000</v>
      </c>
      <c r="O82" s="74">
        <v>1380000</v>
      </c>
      <c r="P82" s="74">
        <v>31000</v>
      </c>
      <c r="Q82" s="74">
        <v>31000</v>
      </c>
      <c r="R82" s="74">
        <v>23.3</v>
      </c>
      <c r="S82" s="74">
        <v>36500</v>
      </c>
      <c r="T82" s="74">
        <v>36500</v>
      </c>
      <c r="U82" s="74">
        <v>34.6</v>
      </c>
      <c r="V82" s="74">
        <v>34.6</v>
      </c>
      <c r="W82" s="74">
        <v>2250000</v>
      </c>
      <c r="X82" s="74">
        <v>2250000</v>
      </c>
      <c r="Y82" s="74">
        <v>47.2</v>
      </c>
      <c r="Z82" s="74">
        <v>1</v>
      </c>
      <c r="AA82" s="74">
        <v>31.4</v>
      </c>
      <c r="AB82" s="95" t="s">
        <v>495</v>
      </c>
      <c r="AC82" s="95">
        <v>35800</v>
      </c>
      <c r="AD82" s="74">
        <v>35800</v>
      </c>
      <c r="AE82" s="74">
        <v>0</v>
      </c>
    </row>
    <row r="83" spans="1:31">
      <c r="A83" s="74" t="s">
        <v>780</v>
      </c>
      <c r="B83" s="74">
        <v>89</v>
      </c>
      <c r="C83" s="95">
        <v>450</v>
      </c>
      <c r="D83" s="95">
        <v>450</v>
      </c>
      <c r="E83" s="74">
        <v>89</v>
      </c>
      <c r="F83" s="74">
        <v>2</v>
      </c>
      <c r="G83" s="74">
        <v>2</v>
      </c>
      <c r="H83" s="95" t="s">
        <v>704</v>
      </c>
      <c r="I83" s="74">
        <v>5.38</v>
      </c>
      <c r="J83" s="74">
        <v>0.34899999999999998</v>
      </c>
      <c r="K83" s="74">
        <v>64.900000000000006</v>
      </c>
      <c r="L83" s="74">
        <v>42.5</v>
      </c>
      <c r="M83" s="74">
        <v>686</v>
      </c>
      <c r="N83" s="74">
        <v>858000</v>
      </c>
      <c r="O83" s="74">
        <v>858000</v>
      </c>
      <c r="P83" s="74">
        <v>19300</v>
      </c>
      <c r="Q83" s="74">
        <v>19300</v>
      </c>
      <c r="R83" s="74">
        <v>14</v>
      </c>
      <c r="S83" s="74">
        <v>22300</v>
      </c>
      <c r="T83" s="74">
        <v>22300</v>
      </c>
      <c r="U83" s="74">
        <v>35.4</v>
      </c>
      <c r="V83" s="74">
        <v>35.4</v>
      </c>
      <c r="W83" s="74">
        <v>1330000</v>
      </c>
      <c r="X83" s="74">
        <v>1330000</v>
      </c>
      <c r="Y83" s="74">
        <v>29</v>
      </c>
      <c r="Z83" s="74">
        <v>0.70399999999999996</v>
      </c>
      <c r="AA83" s="74">
        <v>57</v>
      </c>
      <c r="AB83" s="95" t="s">
        <v>496</v>
      </c>
      <c r="AC83" s="95">
        <v>15700</v>
      </c>
      <c r="AD83" s="74">
        <v>15700</v>
      </c>
      <c r="AE83" s="74">
        <v>0</v>
      </c>
    </row>
    <row r="84" spans="1:31">
      <c r="A84" s="74" t="s">
        <v>781</v>
      </c>
      <c r="B84" s="74">
        <v>75</v>
      </c>
      <c r="C84" s="95">
        <v>450</v>
      </c>
      <c r="D84" s="95">
        <v>450</v>
      </c>
      <c r="E84" s="74">
        <v>75</v>
      </c>
      <c r="F84" s="74">
        <v>6</v>
      </c>
      <c r="G84" s="74">
        <v>6</v>
      </c>
      <c r="H84" s="95" t="s">
        <v>704</v>
      </c>
      <c r="I84" s="74">
        <v>12</v>
      </c>
      <c r="J84" s="74">
        <v>0.27400000000000002</v>
      </c>
      <c r="K84" s="74">
        <v>22.8</v>
      </c>
      <c r="L84" s="74">
        <v>10.5</v>
      </c>
      <c r="M84" s="74">
        <v>1530</v>
      </c>
      <c r="N84" s="74">
        <v>1160000</v>
      </c>
      <c r="O84" s="74">
        <v>1160000</v>
      </c>
      <c r="P84" s="74">
        <v>30900</v>
      </c>
      <c r="Q84" s="74">
        <v>30900</v>
      </c>
      <c r="R84" s="74">
        <v>24.7</v>
      </c>
      <c r="S84" s="74">
        <v>38400</v>
      </c>
      <c r="T84" s="74">
        <v>38400</v>
      </c>
      <c r="U84" s="74">
        <v>27.5</v>
      </c>
      <c r="V84" s="74">
        <v>27.5</v>
      </c>
      <c r="W84" s="74">
        <v>2040000</v>
      </c>
      <c r="X84" s="74">
        <v>2040000</v>
      </c>
      <c r="Y84" s="74">
        <v>48.2</v>
      </c>
      <c r="Z84" s="74">
        <v>1</v>
      </c>
      <c r="AA84" s="74">
        <v>14.1</v>
      </c>
      <c r="AB84" s="95" t="s">
        <v>494</v>
      </c>
      <c r="AC84" s="95">
        <v>38400</v>
      </c>
      <c r="AD84" s="74">
        <v>38400</v>
      </c>
      <c r="AE84" s="74">
        <v>0</v>
      </c>
    </row>
    <row r="85" spans="1:31">
      <c r="A85" s="74" t="s">
        <v>782</v>
      </c>
      <c r="B85" s="74">
        <v>75</v>
      </c>
      <c r="C85" s="95">
        <v>450</v>
      </c>
      <c r="D85" s="95">
        <v>450</v>
      </c>
      <c r="E85" s="74">
        <v>75</v>
      </c>
      <c r="F85" s="74">
        <v>5</v>
      </c>
      <c r="G85" s="74">
        <v>5</v>
      </c>
      <c r="H85" s="95" t="s">
        <v>704</v>
      </c>
      <c r="I85" s="74">
        <v>10.3</v>
      </c>
      <c r="J85" s="74">
        <v>0.27900000000000003</v>
      </c>
      <c r="K85" s="74">
        <v>27</v>
      </c>
      <c r="L85" s="74">
        <v>13</v>
      </c>
      <c r="M85" s="74">
        <v>1310</v>
      </c>
      <c r="N85" s="74">
        <v>1030000</v>
      </c>
      <c r="O85" s="74">
        <v>1030000</v>
      </c>
      <c r="P85" s="74">
        <v>27500</v>
      </c>
      <c r="Q85" s="74">
        <v>27500</v>
      </c>
      <c r="R85" s="74">
        <v>21.6</v>
      </c>
      <c r="S85" s="74">
        <v>33600</v>
      </c>
      <c r="T85" s="74">
        <v>33600</v>
      </c>
      <c r="U85" s="74">
        <v>28</v>
      </c>
      <c r="V85" s="74">
        <v>28</v>
      </c>
      <c r="W85" s="74">
        <v>1770000</v>
      </c>
      <c r="X85" s="74">
        <v>1770000</v>
      </c>
      <c r="Y85" s="74">
        <v>42.6</v>
      </c>
      <c r="Z85" s="74">
        <v>1</v>
      </c>
      <c r="AA85" s="74">
        <v>17.399999999999999</v>
      </c>
      <c r="AB85" s="95" t="s">
        <v>494</v>
      </c>
      <c r="AC85" s="95">
        <v>33600</v>
      </c>
      <c r="AD85" s="74">
        <v>33600</v>
      </c>
      <c r="AE85" s="74">
        <v>0</v>
      </c>
    </row>
    <row r="86" spans="1:31">
      <c r="A86" s="74" t="s">
        <v>783</v>
      </c>
      <c r="B86" s="74">
        <v>75</v>
      </c>
      <c r="C86" s="95">
        <v>450</v>
      </c>
      <c r="D86" s="95">
        <v>450</v>
      </c>
      <c r="E86" s="74">
        <v>75</v>
      </c>
      <c r="F86" s="74">
        <v>4</v>
      </c>
      <c r="G86" s="74">
        <v>4</v>
      </c>
      <c r="H86" s="95" t="s">
        <v>704</v>
      </c>
      <c r="I86" s="74">
        <v>8.49</v>
      </c>
      <c r="J86" s="74">
        <v>0.28299999999999997</v>
      </c>
      <c r="K86" s="74">
        <v>33.299999999999997</v>
      </c>
      <c r="L86" s="74">
        <v>16.8</v>
      </c>
      <c r="M86" s="74">
        <v>1080</v>
      </c>
      <c r="N86" s="74">
        <v>882000</v>
      </c>
      <c r="O86" s="74">
        <v>882000</v>
      </c>
      <c r="P86" s="74">
        <v>23500</v>
      </c>
      <c r="Q86" s="74">
        <v>23500</v>
      </c>
      <c r="R86" s="74">
        <v>18.100000000000001</v>
      </c>
      <c r="S86" s="74">
        <v>28200</v>
      </c>
      <c r="T86" s="74">
        <v>28200</v>
      </c>
      <c r="U86" s="74">
        <v>28.6</v>
      </c>
      <c r="V86" s="74">
        <v>28.6</v>
      </c>
      <c r="W86" s="74">
        <v>1480000</v>
      </c>
      <c r="X86" s="74">
        <v>1480000</v>
      </c>
      <c r="Y86" s="74">
        <v>36.1</v>
      </c>
      <c r="Z86" s="74">
        <v>1</v>
      </c>
      <c r="AA86" s="74">
        <v>22.5</v>
      </c>
      <c r="AB86" s="95" t="s">
        <v>494</v>
      </c>
      <c r="AC86" s="95">
        <v>28200</v>
      </c>
      <c r="AD86" s="74">
        <v>28200</v>
      </c>
      <c r="AE86" s="74">
        <v>0</v>
      </c>
    </row>
    <row r="87" spans="1:31">
      <c r="A87" s="74" t="s">
        <v>784</v>
      </c>
      <c r="B87" s="74">
        <v>75</v>
      </c>
      <c r="C87" s="95">
        <v>450</v>
      </c>
      <c r="D87" s="95">
        <v>450</v>
      </c>
      <c r="E87" s="74">
        <v>75</v>
      </c>
      <c r="F87" s="74">
        <v>3.5</v>
      </c>
      <c r="G87" s="74">
        <v>3.5</v>
      </c>
      <c r="H87" s="95" t="s">
        <v>704</v>
      </c>
      <c r="I87" s="74">
        <v>7.53</v>
      </c>
      <c r="J87" s="74">
        <v>0.28499999999999998</v>
      </c>
      <c r="K87" s="74">
        <v>37.9</v>
      </c>
      <c r="L87" s="74">
        <v>19.399999999999999</v>
      </c>
      <c r="M87" s="74">
        <v>959</v>
      </c>
      <c r="N87" s="74">
        <v>797000</v>
      </c>
      <c r="O87" s="74">
        <v>797000</v>
      </c>
      <c r="P87" s="74">
        <v>21300</v>
      </c>
      <c r="Q87" s="74">
        <v>21300</v>
      </c>
      <c r="R87" s="74">
        <v>16.100000000000001</v>
      </c>
      <c r="S87" s="74">
        <v>25300</v>
      </c>
      <c r="T87" s="74">
        <v>25300</v>
      </c>
      <c r="U87" s="74">
        <v>28.8</v>
      </c>
      <c r="V87" s="74">
        <v>28.8</v>
      </c>
      <c r="W87" s="74">
        <v>1320000</v>
      </c>
      <c r="X87" s="74">
        <v>1320000</v>
      </c>
      <c r="Y87" s="74">
        <v>32.5</v>
      </c>
      <c r="Z87" s="74">
        <v>1</v>
      </c>
      <c r="AA87" s="74">
        <v>26.1</v>
      </c>
      <c r="AB87" s="95" t="s">
        <v>494</v>
      </c>
      <c r="AC87" s="95">
        <v>25300</v>
      </c>
      <c r="AD87" s="74">
        <v>25300</v>
      </c>
      <c r="AE87" s="74">
        <v>0</v>
      </c>
    </row>
    <row r="88" spans="1:31">
      <c r="A88" s="74" t="s">
        <v>785</v>
      </c>
      <c r="B88" s="74">
        <v>75</v>
      </c>
      <c r="C88" s="95">
        <v>450</v>
      </c>
      <c r="D88" s="95">
        <v>450</v>
      </c>
      <c r="E88" s="74">
        <v>75</v>
      </c>
      <c r="F88" s="74">
        <v>3</v>
      </c>
      <c r="G88" s="74">
        <v>3</v>
      </c>
      <c r="H88" s="95" t="s">
        <v>704</v>
      </c>
      <c r="I88" s="74">
        <v>6.6</v>
      </c>
      <c r="J88" s="74">
        <v>0.28999999999999998</v>
      </c>
      <c r="K88" s="74">
        <v>43.9</v>
      </c>
      <c r="L88" s="74">
        <v>23</v>
      </c>
      <c r="M88" s="74">
        <v>841</v>
      </c>
      <c r="N88" s="74">
        <v>716000</v>
      </c>
      <c r="O88" s="74">
        <v>716000</v>
      </c>
      <c r="P88" s="74">
        <v>19100</v>
      </c>
      <c r="Q88" s="74">
        <v>19100</v>
      </c>
      <c r="R88" s="74">
        <v>14.2</v>
      </c>
      <c r="S88" s="74">
        <v>22500</v>
      </c>
      <c r="T88" s="74">
        <v>22500</v>
      </c>
      <c r="U88" s="74">
        <v>29.2</v>
      </c>
      <c r="V88" s="74">
        <v>29.2</v>
      </c>
      <c r="W88" s="74">
        <v>1150000</v>
      </c>
      <c r="X88" s="74">
        <v>1150000</v>
      </c>
      <c r="Y88" s="74">
        <v>28.7</v>
      </c>
      <c r="Z88" s="74">
        <v>1</v>
      </c>
      <c r="AA88" s="74">
        <v>30.9</v>
      </c>
      <c r="AB88" s="95" t="s">
        <v>495</v>
      </c>
      <c r="AC88" s="95">
        <v>22200</v>
      </c>
      <c r="AD88" s="74">
        <v>22200</v>
      </c>
      <c r="AE88" s="74">
        <v>0</v>
      </c>
    </row>
    <row r="89" spans="1:31">
      <c r="A89" s="74" t="s">
        <v>786</v>
      </c>
      <c r="B89" s="74">
        <v>75</v>
      </c>
      <c r="C89" s="95">
        <v>450</v>
      </c>
      <c r="D89" s="95">
        <v>450</v>
      </c>
      <c r="E89" s="74">
        <v>75</v>
      </c>
      <c r="F89" s="74">
        <v>2.5</v>
      </c>
      <c r="G89" s="74">
        <v>2.5</v>
      </c>
      <c r="H89" s="95" t="s">
        <v>704</v>
      </c>
      <c r="I89" s="74">
        <v>5.56</v>
      </c>
      <c r="J89" s="74">
        <v>0.29099999999999998</v>
      </c>
      <c r="K89" s="74">
        <v>52.4</v>
      </c>
      <c r="L89" s="74">
        <v>28</v>
      </c>
      <c r="M89" s="74">
        <v>709</v>
      </c>
      <c r="N89" s="74">
        <v>614000</v>
      </c>
      <c r="O89" s="74">
        <v>614000</v>
      </c>
      <c r="P89" s="74">
        <v>16400</v>
      </c>
      <c r="Q89" s="74">
        <v>16400</v>
      </c>
      <c r="R89" s="74">
        <v>12</v>
      </c>
      <c r="S89" s="74">
        <v>19100</v>
      </c>
      <c r="T89" s="74">
        <v>19100</v>
      </c>
      <c r="U89" s="74">
        <v>29.4</v>
      </c>
      <c r="V89" s="74">
        <v>29.4</v>
      </c>
      <c r="W89" s="74">
        <v>971000</v>
      </c>
      <c r="X89" s="74">
        <v>971000</v>
      </c>
      <c r="Y89" s="74">
        <v>24.6</v>
      </c>
      <c r="Z89" s="74">
        <v>1</v>
      </c>
      <c r="AA89" s="74">
        <v>37.6</v>
      </c>
      <c r="AB89" s="95" t="s">
        <v>495</v>
      </c>
      <c r="AC89" s="95">
        <v>17000</v>
      </c>
      <c r="AD89" s="74">
        <v>17000</v>
      </c>
      <c r="AE89" s="74">
        <v>0</v>
      </c>
    </row>
    <row r="90" spans="1:31">
      <c r="A90" s="74" t="s">
        <v>787</v>
      </c>
      <c r="B90" s="74">
        <v>75</v>
      </c>
      <c r="C90" s="95">
        <v>450</v>
      </c>
      <c r="D90" s="95">
        <v>450</v>
      </c>
      <c r="E90" s="74">
        <v>75</v>
      </c>
      <c r="F90" s="74">
        <v>2</v>
      </c>
      <c r="G90" s="74">
        <v>2</v>
      </c>
      <c r="H90" s="95" t="s">
        <v>704</v>
      </c>
      <c r="I90" s="74">
        <v>4.5</v>
      </c>
      <c r="J90" s="74">
        <v>0.29299999999999998</v>
      </c>
      <c r="K90" s="74">
        <v>65.099999999999994</v>
      </c>
      <c r="L90" s="74">
        <v>35.5</v>
      </c>
      <c r="M90" s="74">
        <v>574</v>
      </c>
      <c r="N90" s="74">
        <v>505000</v>
      </c>
      <c r="O90" s="74">
        <v>505000</v>
      </c>
      <c r="P90" s="74">
        <v>13500</v>
      </c>
      <c r="Q90" s="74">
        <v>13500</v>
      </c>
      <c r="R90" s="74">
        <v>9.83</v>
      </c>
      <c r="S90" s="74">
        <v>15600</v>
      </c>
      <c r="T90" s="74">
        <v>15600</v>
      </c>
      <c r="U90" s="74">
        <v>29.7</v>
      </c>
      <c r="V90" s="74">
        <v>29.7</v>
      </c>
      <c r="W90" s="74">
        <v>790000</v>
      </c>
      <c r="X90" s="74">
        <v>790000</v>
      </c>
      <c r="Y90" s="74">
        <v>20.2</v>
      </c>
      <c r="Z90" s="74">
        <v>0.84099999999999997</v>
      </c>
      <c r="AA90" s="74">
        <v>47.6</v>
      </c>
      <c r="AB90" s="95" t="s">
        <v>496</v>
      </c>
      <c r="AC90" s="95">
        <v>12100</v>
      </c>
      <c r="AD90" s="74">
        <v>12100</v>
      </c>
      <c r="AE90" s="74">
        <v>0</v>
      </c>
    </row>
    <row r="91" spans="1:31">
      <c r="A91" s="74" t="s">
        <v>788</v>
      </c>
      <c r="B91" s="74">
        <v>65</v>
      </c>
      <c r="C91" s="95">
        <v>450</v>
      </c>
      <c r="D91" s="95">
        <v>450</v>
      </c>
      <c r="E91" s="74">
        <v>65</v>
      </c>
      <c r="F91" s="74">
        <v>6</v>
      </c>
      <c r="G91" s="74">
        <v>6</v>
      </c>
      <c r="H91" s="95" t="s">
        <v>704</v>
      </c>
      <c r="I91" s="74">
        <v>10.1</v>
      </c>
      <c r="J91" s="74">
        <v>0.23400000000000001</v>
      </c>
      <c r="K91" s="74">
        <v>23.1</v>
      </c>
      <c r="L91" s="74">
        <v>8.83</v>
      </c>
      <c r="M91" s="74">
        <v>1290</v>
      </c>
      <c r="N91" s="74">
        <v>706000</v>
      </c>
      <c r="O91" s="74">
        <v>706000</v>
      </c>
      <c r="P91" s="74">
        <v>21700</v>
      </c>
      <c r="Q91" s="74">
        <v>21700</v>
      </c>
      <c r="R91" s="74">
        <v>17.8</v>
      </c>
      <c r="S91" s="74">
        <v>27500</v>
      </c>
      <c r="T91" s="74">
        <v>27500</v>
      </c>
      <c r="U91" s="74">
        <v>23.4</v>
      </c>
      <c r="V91" s="74">
        <v>23.4</v>
      </c>
      <c r="W91" s="74">
        <v>1270000</v>
      </c>
      <c r="X91" s="74">
        <v>1270000</v>
      </c>
      <c r="Y91" s="74">
        <v>34.200000000000003</v>
      </c>
      <c r="Z91" s="74">
        <v>1</v>
      </c>
      <c r="AA91" s="74">
        <v>11.9</v>
      </c>
      <c r="AB91" s="95" t="s">
        <v>494</v>
      </c>
      <c r="AC91" s="95">
        <v>27500</v>
      </c>
      <c r="AD91" s="74">
        <v>27500</v>
      </c>
      <c r="AE91" s="74">
        <v>0</v>
      </c>
    </row>
    <row r="92" spans="1:31">
      <c r="A92" s="74" t="s">
        <v>789</v>
      </c>
      <c r="B92" s="74">
        <v>65</v>
      </c>
      <c r="C92" s="95">
        <v>450</v>
      </c>
      <c r="D92" s="95">
        <v>450</v>
      </c>
      <c r="E92" s="74">
        <v>65</v>
      </c>
      <c r="F92" s="74">
        <v>5</v>
      </c>
      <c r="G92" s="74">
        <v>5</v>
      </c>
      <c r="H92" s="95" t="s">
        <v>704</v>
      </c>
      <c r="I92" s="74">
        <v>8.75</v>
      </c>
      <c r="J92" s="74">
        <v>0.23899999999999999</v>
      </c>
      <c r="K92" s="74">
        <v>27.3</v>
      </c>
      <c r="L92" s="74">
        <v>11</v>
      </c>
      <c r="M92" s="74">
        <v>1110</v>
      </c>
      <c r="N92" s="74">
        <v>638000</v>
      </c>
      <c r="O92" s="74">
        <v>638000</v>
      </c>
      <c r="P92" s="74">
        <v>19600</v>
      </c>
      <c r="Q92" s="74">
        <v>19600</v>
      </c>
      <c r="R92" s="74">
        <v>15.6</v>
      </c>
      <c r="S92" s="74">
        <v>24300</v>
      </c>
      <c r="T92" s="74">
        <v>24300</v>
      </c>
      <c r="U92" s="74">
        <v>23.9</v>
      </c>
      <c r="V92" s="74">
        <v>23.9</v>
      </c>
      <c r="W92" s="74">
        <v>1120000</v>
      </c>
      <c r="X92" s="74">
        <v>1120000</v>
      </c>
      <c r="Y92" s="74">
        <v>30.6</v>
      </c>
      <c r="Z92" s="74">
        <v>1</v>
      </c>
      <c r="AA92" s="74">
        <v>14.8</v>
      </c>
      <c r="AB92" s="95" t="s">
        <v>494</v>
      </c>
      <c r="AC92" s="95">
        <v>24300</v>
      </c>
      <c r="AD92" s="74">
        <v>24300</v>
      </c>
      <c r="AE92" s="74">
        <v>0</v>
      </c>
    </row>
    <row r="93" spans="1:31">
      <c r="A93" s="74" t="s">
        <v>790</v>
      </c>
      <c r="B93" s="74">
        <v>65</v>
      </c>
      <c r="C93" s="95">
        <v>450</v>
      </c>
      <c r="D93" s="95">
        <v>450</v>
      </c>
      <c r="E93" s="74">
        <v>65</v>
      </c>
      <c r="F93" s="74">
        <v>4</v>
      </c>
      <c r="G93" s="74">
        <v>4</v>
      </c>
      <c r="H93" s="95" t="s">
        <v>704</v>
      </c>
      <c r="I93" s="74">
        <v>7.23</v>
      </c>
      <c r="J93" s="74">
        <v>0.24299999999999999</v>
      </c>
      <c r="K93" s="74">
        <v>33.6</v>
      </c>
      <c r="L93" s="74">
        <v>14.3</v>
      </c>
      <c r="M93" s="74">
        <v>921</v>
      </c>
      <c r="N93" s="74">
        <v>552000</v>
      </c>
      <c r="O93" s="74">
        <v>552000</v>
      </c>
      <c r="P93" s="74">
        <v>17000</v>
      </c>
      <c r="Q93" s="74">
        <v>17000</v>
      </c>
      <c r="R93" s="74">
        <v>13.2</v>
      </c>
      <c r="S93" s="74">
        <v>20600</v>
      </c>
      <c r="T93" s="74">
        <v>20600</v>
      </c>
      <c r="U93" s="74">
        <v>24.5</v>
      </c>
      <c r="V93" s="74">
        <v>24.5</v>
      </c>
      <c r="W93" s="74">
        <v>939000</v>
      </c>
      <c r="X93" s="74">
        <v>939000</v>
      </c>
      <c r="Y93" s="74">
        <v>26.2</v>
      </c>
      <c r="Z93" s="74">
        <v>1</v>
      </c>
      <c r="AA93" s="74">
        <v>19.100000000000001</v>
      </c>
      <c r="AB93" s="95" t="s">
        <v>494</v>
      </c>
      <c r="AC93" s="95">
        <v>20600</v>
      </c>
      <c r="AD93" s="74">
        <v>20600</v>
      </c>
      <c r="AE93" s="74">
        <v>0</v>
      </c>
    </row>
    <row r="94" spans="1:31">
      <c r="A94" s="74" t="s">
        <v>791</v>
      </c>
      <c r="B94" s="74">
        <v>65</v>
      </c>
      <c r="C94" s="95">
        <v>450</v>
      </c>
      <c r="D94" s="95">
        <v>450</v>
      </c>
      <c r="E94" s="74">
        <v>65</v>
      </c>
      <c r="F94" s="74">
        <v>3</v>
      </c>
      <c r="G94" s="74">
        <v>3</v>
      </c>
      <c r="H94" s="95" t="s">
        <v>704</v>
      </c>
      <c r="I94" s="74">
        <v>5.66</v>
      </c>
      <c r="J94" s="74">
        <v>0.25</v>
      </c>
      <c r="K94" s="74">
        <v>44.1</v>
      </c>
      <c r="L94" s="74">
        <v>19.7</v>
      </c>
      <c r="M94" s="74">
        <v>721</v>
      </c>
      <c r="N94" s="74">
        <v>454000</v>
      </c>
      <c r="O94" s="74">
        <v>454000</v>
      </c>
      <c r="P94" s="74">
        <v>14000</v>
      </c>
      <c r="Q94" s="74">
        <v>14000</v>
      </c>
      <c r="R94" s="74">
        <v>10.4</v>
      </c>
      <c r="S94" s="74">
        <v>16600</v>
      </c>
      <c r="T94" s="74">
        <v>16600</v>
      </c>
      <c r="U94" s="74">
        <v>25.1</v>
      </c>
      <c r="V94" s="74">
        <v>25.1</v>
      </c>
      <c r="W94" s="74">
        <v>733000</v>
      </c>
      <c r="X94" s="74">
        <v>733000</v>
      </c>
      <c r="Y94" s="74">
        <v>21</v>
      </c>
      <c r="Z94" s="74">
        <v>1</v>
      </c>
      <c r="AA94" s="74">
        <v>26.4</v>
      </c>
      <c r="AB94" s="95" t="s">
        <v>494</v>
      </c>
      <c r="AC94" s="95">
        <v>16600</v>
      </c>
      <c r="AD94" s="74">
        <v>16600</v>
      </c>
      <c r="AE94" s="74">
        <v>0</v>
      </c>
    </row>
    <row r="95" spans="1:31">
      <c r="A95" s="74" t="s">
        <v>792</v>
      </c>
      <c r="B95" s="74">
        <v>65</v>
      </c>
      <c r="C95" s="95">
        <v>450</v>
      </c>
      <c r="D95" s="95">
        <v>450</v>
      </c>
      <c r="E95" s="74">
        <v>65</v>
      </c>
      <c r="F95" s="74">
        <v>2.5</v>
      </c>
      <c r="G95" s="74">
        <v>2.5</v>
      </c>
      <c r="H95" s="95" t="s">
        <v>704</v>
      </c>
      <c r="I95" s="74">
        <v>4.78</v>
      </c>
      <c r="J95" s="74">
        <v>0.251</v>
      </c>
      <c r="K95" s="74">
        <v>52.6</v>
      </c>
      <c r="L95" s="74">
        <v>24</v>
      </c>
      <c r="M95" s="74">
        <v>609</v>
      </c>
      <c r="N95" s="74">
        <v>391000</v>
      </c>
      <c r="O95" s="74">
        <v>391000</v>
      </c>
      <c r="P95" s="74">
        <v>12000</v>
      </c>
      <c r="Q95" s="74">
        <v>12000</v>
      </c>
      <c r="R95" s="74">
        <v>8.91</v>
      </c>
      <c r="S95" s="74">
        <v>14100</v>
      </c>
      <c r="T95" s="74">
        <v>14100</v>
      </c>
      <c r="U95" s="74">
        <v>25.3</v>
      </c>
      <c r="V95" s="74">
        <v>25.3</v>
      </c>
      <c r="W95" s="74">
        <v>624000</v>
      </c>
      <c r="X95" s="74">
        <v>624000</v>
      </c>
      <c r="Y95" s="74">
        <v>18.100000000000001</v>
      </c>
      <c r="Z95" s="74">
        <v>1</v>
      </c>
      <c r="AA95" s="74">
        <v>32.200000000000003</v>
      </c>
      <c r="AB95" s="95" t="s">
        <v>495</v>
      </c>
      <c r="AC95" s="95">
        <v>13700</v>
      </c>
      <c r="AD95" s="74">
        <v>13700</v>
      </c>
      <c r="AE95" s="74">
        <v>0</v>
      </c>
    </row>
    <row r="96" spans="1:31">
      <c r="A96" s="74" t="s">
        <v>793</v>
      </c>
      <c r="B96" s="74">
        <v>65</v>
      </c>
      <c r="C96" s="95">
        <v>450</v>
      </c>
      <c r="D96" s="95">
        <v>450</v>
      </c>
      <c r="E96" s="74">
        <v>65</v>
      </c>
      <c r="F96" s="74">
        <v>2</v>
      </c>
      <c r="G96" s="74">
        <v>2</v>
      </c>
      <c r="H96" s="95" t="s">
        <v>704</v>
      </c>
      <c r="I96" s="74">
        <v>3.88</v>
      </c>
      <c r="J96" s="74">
        <v>0.253</v>
      </c>
      <c r="K96" s="74">
        <v>65.3</v>
      </c>
      <c r="L96" s="74">
        <v>30.5</v>
      </c>
      <c r="M96" s="74">
        <v>494</v>
      </c>
      <c r="N96" s="74">
        <v>323000</v>
      </c>
      <c r="O96" s="74">
        <v>323000</v>
      </c>
      <c r="P96" s="74">
        <v>9940</v>
      </c>
      <c r="Q96" s="74">
        <v>9940</v>
      </c>
      <c r="R96" s="74">
        <v>7.29</v>
      </c>
      <c r="S96" s="74">
        <v>11600</v>
      </c>
      <c r="T96" s="74">
        <v>11600</v>
      </c>
      <c r="U96" s="74">
        <v>25.6</v>
      </c>
      <c r="V96" s="74">
        <v>25.6</v>
      </c>
      <c r="W96" s="74">
        <v>509000</v>
      </c>
      <c r="X96" s="74">
        <v>509000</v>
      </c>
      <c r="Y96" s="74">
        <v>14.9</v>
      </c>
      <c r="Z96" s="74">
        <v>0.97799999999999998</v>
      </c>
      <c r="AA96" s="74">
        <v>40.9</v>
      </c>
      <c r="AB96" s="95" t="s">
        <v>496</v>
      </c>
      <c r="AC96" s="95">
        <v>9800</v>
      </c>
      <c r="AD96" s="74">
        <v>9800</v>
      </c>
      <c r="AE96" s="74">
        <v>0</v>
      </c>
    </row>
    <row r="97" spans="1:31">
      <c r="A97" s="74" t="s">
        <v>794</v>
      </c>
      <c r="B97" s="74">
        <v>65</v>
      </c>
      <c r="C97" s="95">
        <v>450</v>
      </c>
      <c r="D97" s="95">
        <v>450</v>
      </c>
      <c r="E97" s="74">
        <v>65</v>
      </c>
      <c r="F97" s="74">
        <v>1.6</v>
      </c>
      <c r="G97" s="74">
        <v>1.6</v>
      </c>
      <c r="H97" s="95" t="s">
        <v>704</v>
      </c>
      <c r="I97" s="74">
        <v>3.13</v>
      </c>
      <c r="J97" s="74">
        <v>0.255</v>
      </c>
      <c r="K97" s="74">
        <v>81.2</v>
      </c>
      <c r="L97" s="74">
        <v>38.6</v>
      </c>
      <c r="M97" s="74">
        <v>399</v>
      </c>
      <c r="N97" s="74">
        <v>265000</v>
      </c>
      <c r="O97" s="74">
        <v>265000</v>
      </c>
      <c r="P97" s="74">
        <v>8160</v>
      </c>
      <c r="Q97" s="74">
        <v>8160</v>
      </c>
      <c r="R97" s="74">
        <v>5.94</v>
      </c>
      <c r="S97" s="74">
        <v>9440</v>
      </c>
      <c r="T97" s="74">
        <v>9440</v>
      </c>
      <c r="U97" s="74">
        <v>25.8</v>
      </c>
      <c r="V97" s="74">
        <v>25.8</v>
      </c>
      <c r="W97" s="74">
        <v>414000</v>
      </c>
      <c r="X97" s="74">
        <v>414000</v>
      </c>
      <c r="Y97" s="74">
        <v>12.2</v>
      </c>
      <c r="Z97" s="74">
        <v>0.77400000000000002</v>
      </c>
      <c r="AA97" s="74">
        <v>51.8</v>
      </c>
      <c r="AB97" s="95" t="s">
        <v>496</v>
      </c>
      <c r="AC97" s="95">
        <v>7010</v>
      </c>
      <c r="AD97" s="74">
        <v>7010</v>
      </c>
      <c r="AE97" s="74">
        <v>0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B16D8-6553-46F9-A96F-CED9362CB1F4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7FA8A-5CFF-46EB-A503-5E940B8B8DC9}">
  <sheetPr codeName="Sheet5"/>
  <dimension ref="A1:AK53"/>
  <sheetViews>
    <sheetView topLeftCell="A14" workbookViewId="0">
      <selection activeCell="J40" sqref="J40"/>
    </sheetView>
  </sheetViews>
  <sheetFormatPr defaultColWidth="9.109375" defaultRowHeight="14.4"/>
  <cols>
    <col min="1" max="1" width="14.88671875" style="20" bestFit="1" customWidth="1"/>
    <col min="2" max="3" width="11.44140625" style="20" customWidth="1"/>
    <col min="4" max="7" width="9.109375" style="20"/>
    <col min="8" max="8" width="10" style="20" bestFit="1" customWidth="1"/>
    <col min="9" max="9" width="10" style="20" customWidth="1"/>
    <col min="10" max="10" width="16.6640625" style="20" bestFit="1" customWidth="1"/>
    <col min="11" max="11" width="15.6640625" style="20" bestFit="1" customWidth="1"/>
    <col min="12" max="12" width="14.6640625" style="20" bestFit="1" customWidth="1"/>
    <col min="13" max="13" width="11.5546875" style="20" bestFit="1" customWidth="1"/>
    <col min="14" max="14" width="9.109375" style="20"/>
    <col min="15" max="15" width="10.6640625" style="20" bestFit="1" customWidth="1"/>
    <col min="16" max="16" width="10" style="20" bestFit="1" customWidth="1"/>
    <col min="17" max="18" width="9.109375" style="20"/>
    <col min="19" max="19" width="13.109375" style="20" bestFit="1" customWidth="1"/>
    <col min="20" max="20" width="9.109375" style="20"/>
    <col min="21" max="21" width="10" style="20" bestFit="1" customWidth="1"/>
    <col min="22" max="35" width="9.109375" style="20"/>
    <col min="36" max="36" width="13.109375" style="20" customWidth="1"/>
    <col min="37" max="16384" width="9.109375" style="20"/>
  </cols>
  <sheetData>
    <row r="1" spans="1:37">
      <c r="A1" s="21">
        <f>COLUMN()</f>
        <v>1</v>
      </c>
      <c r="B1" s="21">
        <f>COLUMN()</f>
        <v>2</v>
      </c>
      <c r="C1" s="21">
        <f>COLUMN()</f>
        <v>3</v>
      </c>
      <c r="D1" s="21">
        <f>COLUMN()</f>
        <v>4</v>
      </c>
      <c r="E1" s="21">
        <f>COLUMN()</f>
        <v>5</v>
      </c>
      <c r="F1" s="21"/>
      <c r="G1" s="21">
        <f>COLUMN()</f>
        <v>7</v>
      </c>
      <c r="H1" s="21">
        <f>COLUMN()</f>
        <v>8</v>
      </c>
      <c r="I1" s="21"/>
      <c r="J1" s="21">
        <f>COLUMN()</f>
        <v>10</v>
      </c>
      <c r="K1" s="21">
        <f>COLUMN()</f>
        <v>11</v>
      </c>
      <c r="L1" s="21">
        <f>COLUMN()</f>
        <v>12</v>
      </c>
      <c r="M1" s="21">
        <f>COLUMN()</f>
        <v>13</v>
      </c>
      <c r="N1" s="21">
        <f>COLUMN()</f>
        <v>14</v>
      </c>
      <c r="O1" s="21">
        <f>COLUMN()</f>
        <v>15</v>
      </c>
      <c r="P1" s="21">
        <f>COLUMN()</f>
        <v>16</v>
      </c>
      <c r="Q1" s="21">
        <f>COLUMN()</f>
        <v>17</v>
      </c>
      <c r="R1" s="21">
        <f>COLUMN()</f>
        <v>18</v>
      </c>
      <c r="S1" s="21">
        <f>COLUMN()</f>
        <v>19</v>
      </c>
    </row>
    <row r="2" spans="1:37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3"/>
    </row>
    <row r="3" spans="1:37">
      <c r="A3" s="24" t="s">
        <v>7</v>
      </c>
      <c r="B3" s="24"/>
      <c r="C3" s="24"/>
      <c r="D3" s="24"/>
      <c r="E3" s="24"/>
      <c r="F3" s="24"/>
      <c r="G3" s="24"/>
      <c r="H3" s="25" t="s">
        <v>195</v>
      </c>
      <c r="I3" s="25"/>
      <c r="J3" s="120" t="s">
        <v>16</v>
      </c>
      <c r="K3" s="120"/>
      <c r="L3" s="120"/>
      <c r="M3" s="120"/>
      <c r="N3" s="26"/>
      <c r="O3" s="25"/>
      <c r="P3" s="25"/>
      <c r="Q3" s="25"/>
      <c r="R3" s="25" t="s">
        <v>194</v>
      </c>
      <c r="S3" s="27" t="s">
        <v>193</v>
      </c>
    </row>
    <row r="4" spans="1:37">
      <c r="A4" s="28"/>
      <c r="B4" s="28"/>
      <c r="C4" s="28"/>
      <c r="D4" s="28"/>
      <c r="E4" s="28"/>
      <c r="F4" s="28"/>
      <c r="G4" s="28"/>
      <c r="H4" s="67" t="s">
        <v>192</v>
      </c>
      <c r="I4" s="67"/>
      <c r="J4" s="119"/>
      <c r="K4" s="119"/>
      <c r="L4" s="119"/>
      <c r="M4" s="119"/>
      <c r="N4" s="119" t="s">
        <v>19</v>
      </c>
      <c r="O4" s="119"/>
      <c r="P4" s="119"/>
      <c r="Q4" s="119"/>
      <c r="R4" s="67" t="s">
        <v>191</v>
      </c>
      <c r="S4" s="29" t="s">
        <v>191</v>
      </c>
    </row>
    <row r="5" spans="1:37">
      <c r="A5" s="28"/>
      <c r="B5" s="28"/>
      <c r="C5" s="28"/>
      <c r="D5" s="28"/>
      <c r="E5" s="28"/>
      <c r="F5" s="28"/>
      <c r="G5" s="28"/>
      <c r="H5" s="67" t="s">
        <v>190</v>
      </c>
      <c r="I5" s="67"/>
      <c r="J5" s="67"/>
      <c r="K5" s="67"/>
      <c r="L5" s="67"/>
      <c r="M5" s="67"/>
      <c r="N5" s="67"/>
      <c r="O5" s="67"/>
      <c r="P5" s="67"/>
      <c r="Q5" s="67"/>
      <c r="R5" s="67"/>
      <c r="S5" s="29"/>
      <c r="T5" s="24" t="s">
        <v>189</v>
      </c>
      <c r="U5" s="25"/>
      <c r="V5" s="25"/>
      <c r="W5" s="25"/>
      <c r="X5" s="25"/>
      <c r="Y5" s="67"/>
      <c r="Z5" s="67"/>
      <c r="AA5" s="27"/>
      <c r="AB5" s="67"/>
    </row>
    <row r="6" spans="1:37">
      <c r="A6" s="30" t="s">
        <v>118</v>
      </c>
      <c r="B6" s="31" t="s">
        <v>9</v>
      </c>
      <c r="C6" s="31" t="s">
        <v>10</v>
      </c>
      <c r="D6" s="31" t="s">
        <v>12</v>
      </c>
      <c r="E6" s="31" t="s">
        <v>13</v>
      </c>
      <c r="F6" s="31" t="s">
        <v>14</v>
      </c>
      <c r="G6" s="31" t="s">
        <v>188</v>
      </c>
      <c r="H6" s="32" t="s">
        <v>120</v>
      </c>
      <c r="I6" s="32" t="s">
        <v>187</v>
      </c>
      <c r="J6" s="32" t="s">
        <v>121</v>
      </c>
      <c r="K6" s="32" t="s">
        <v>122</v>
      </c>
      <c r="L6" s="32" t="s">
        <v>123</v>
      </c>
      <c r="M6" s="32" t="s">
        <v>124</v>
      </c>
      <c r="N6" s="32" t="s">
        <v>125</v>
      </c>
      <c r="O6" s="32" t="s">
        <v>127</v>
      </c>
      <c r="P6" s="32" t="s">
        <v>128</v>
      </c>
      <c r="Q6" s="32" t="s">
        <v>129</v>
      </c>
      <c r="R6" s="32" t="s">
        <v>17</v>
      </c>
      <c r="S6" s="32" t="s">
        <v>18</v>
      </c>
      <c r="T6" s="33" t="s">
        <v>186</v>
      </c>
      <c r="U6" s="33" t="s">
        <v>185</v>
      </c>
      <c r="V6" s="34" t="s">
        <v>15</v>
      </c>
      <c r="W6" s="34" t="s">
        <v>184</v>
      </c>
      <c r="X6" s="34" t="s">
        <v>131</v>
      </c>
      <c r="Y6" s="34" t="s">
        <v>370</v>
      </c>
      <c r="Z6" s="34" t="s">
        <v>369</v>
      </c>
      <c r="AA6" s="34" t="s">
        <v>130</v>
      </c>
      <c r="AB6" s="34" t="s">
        <v>181</v>
      </c>
      <c r="AC6" s="34" t="s">
        <v>180</v>
      </c>
      <c r="AD6" s="34" t="s">
        <v>179</v>
      </c>
      <c r="AE6" s="34" t="s">
        <v>178</v>
      </c>
      <c r="AF6" s="34" t="s">
        <v>177</v>
      </c>
      <c r="AG6" s="34" t="s">
        <v>176</v>
      </c>
      <c r="AH6" s="34" t="s">
        <v>175</v>
      </c>
      <c r="AI6" s="34" t="s">
        <v>174</v>
      </c>
      <c r="AJ6" s="34" t="s">
        <v>173</v>
      </c>
      <c r="AK6" s="66"/>
    </row>
    <row r="7" spans="1:37" ht="16.5" customHeight="1">
      <c r="A7" s="35" t="s">
        <v>132</v>
      </c>
      <c r="B7" s="35" t="s">
        <v>133</v>
      </c>
      <c r="C7" s="35" t="s">
        <v>133</v>
      </c>
      <c r="D7" s="35" t="s">
        <v>133</v>
      </c>
      <c r="E7" s="35"/>
      <c r="F7" s="35"/>
      <c r="G7" s="35"/>
      <c r="H7" s="65" t="s">
        <v>134</v>
      </c>
      <c r="I7" s="65"/>
      <c r="J7" s="65"/>
      <c r="K7" s="65"/>
      <c r="L7" s="65"/>
      <c r="M7" s="65" t="s">
        <v>133</v>
      </c>
      <c r="N7" s="65"/>
      <c r="O7" s="65"/>
      <c r="P7" s="65"/>
      <c r="Q7" s="65" t="s">
        <v>133</v>
      </c>
      <c r="R7" s="65" t="s">
        <v>172</v>
      </c>
      <c r="S7" s="65" t="s">
        <v>171</v>
      </c>
      <c r="T7" s="36" t="s">
        <v>115</v>
      </c>
      <c r="U7" s="36" t="s">
        <v>115</v>
      </c>
      <c r="V7" s="36" t="s">
        <v>133</v>
      </c>
      <c r="W7" s="36" t="s">
        <v>133</v>
      </c>
      <c r="X7" s="36"/>
      <c r="Y7" s="36" t="s">
        <v>170</v>
      </c>
      <c r="Z7" s="36" t="s">
        <v>170</v>
      </c>
      <c r="AA7" s="36"/>
      <c r="AB7" s="36" t="s">
        <v>169</v>
      </c>
      <c r="AC7" s="36"/>
      <c r="AD7" s="36"/>
      <c r="AE7" s="36"/>
      <c r="AF7" s="36"/>
      <c r="AG7" s="36"/>
      <c r="AH7" s="36"/>
      <c r="AI7" s="36" t="s">
        <v>168</v>
      </c>
      <c r="AJ7" s="36" t="s">
        <v>168</v>
      </c>
    </row>
    <row r="8" spans="1:37">
      <c r="A8" s="17" t="s">
        <v>167</v>
      </c>
      <c r="B8" s="17">
        <v>612</v>
      </c>
      <c r="C8" s="17">
        <v>229</v>
      </c>
      <c r="D8" s="17">
        <v>19.600000000000001</v>
      </c>
      <c r="E8" s="17">
        <v>11.9</v>
      </c>
      <c r="F8" s="17">
        <v>14</v>
      </c>
      <c r="G8" s="17"/>
      <c r="H8" s="17">
        <v>16000</v>
      </c>
      <c r="I8" s="37">
        <v>15793.12</v>
      </c>
      <c r="J8" s="95">
        <v>986000000</v>
      </c>
      <c r="K8" s="20">
        <v>3230000</v>
      </c>
      <c r="L8" s="20">
        <v>3680000</v>
      </c>
      <c r="M8" s="20">
        <v>249</v>
      </c>
      <c r="N8" s="20">
        <v>39300000</v>
      </c>
      <c r="O8" s="20">
        <v>343000</v>
      </c>
      <c r="P8" s="20">
        <v>536000</v>
      </c>
      <c r="Q8" s="20">
        <v>49.6</v>
      </c>
      <c r="R8" s="20">
        <v>1560000</v>
      </c>
      <c r="S8" s="20">
        <v>3450000000000</v>
      </c>
      <c r="T8" s="38"/>
      <c r="U8" s="38"/>
      <c r="V8" s="37">
        <v>572.79999999999995</v>
      </c>
      <c r="W8" s="37">
        <v>108.55</v>
      </c>
      <c r="X8" s="38">
        <v>1</v>
      </c>
      <c r="Y8" s="38">
        <v>300</v>
      </c>
      <c r="Z8" s="38">
        <v>280</v>
      </c>
      <c r="AA8" s="18">
        <v>0.95</v>
      </c>
      <c r="AB8" s="39">
        <v>0.95</v>
      </c>
      <c r="AC8" s="38">
        <v>45</v>
      </c>
      <c r="AD8" s="38">
        <v>16</v>
      </c>
      <c r="AE8" s="40">
        <v>57.761344537815113</v>
      </c>
      <c r="AF8" s="40">
        <v>5.8611490778788022</v>
      </c>
      <c r="AG8" s="37">
        <v>446.25000000000006</v>
      </c>
      <c r="AH8" s="40">
        <v>108.55</v>
      </c>
      <c r="AI8" s="38">
        <v>14287.174999999999</v>
      </c>
      <c r="AJ8" s="38"/>
    </row>
    <row r="9" spans="1:37">
      <c r="A9" s="17" t="s">
        <v>166</v>
      </c>
      <c r="B9" s="17">
        <v>607</v>
      </c>
      <c r="C9" s="17">
        <v>228</v>
      </c>
      <c r="D9" s="17">
        <v>17.3</v>
      </c>
      <c r="E9" s="17">
        <v>11.2</v>
      </c>
      <c r="F9" s="17">
        <v>14</v>
      </c>
      <c r="G9" s="17"/>
      <c r="H9" s="17">
        <v>14500</v>
      </c>
      <c r="I9" s="37">
        <v>14299.68</v>
      </c>
      <c r="J9" s="20">
        <v>875000000</v>
      </c>
      <c r="K9" s="20">
        <v>2880000</v>
      </c>
      <c r="L9" s="20">
        <v>3290000</v>
      </c>
      <c r="M9" s="20">
        <v>246</v>
      </c>
      <c r="N9" s="20">
        <v>34400000</v>
      </c>
      <c r="O9" s="20">
        <v>300000</v>
      </c>
      <c r="P9" s="20">
        <v>469000</v>
      </c>
      <c r="Q9" s="20">
        <v>48.7</v>
      </c>
      <c r="R9" s="20">
        <v>1140000</v>
      </c>
      <c r="S9" s="20">
        <v>2980000000000</v>
      </c>
      <c r="T9" s="38"/>
      <c r="U9" s="38"/>
      <c r="V9" s="37">
        <v>572.4</v>
      </c>
      <c r="W9" s="37">
        <v>108.4</v>
      </c>
      <c r="X9" s="38">
        <v>1</v>
      </c>
      <c r="Y9" s="38">
        <v>300</v>
      </c>
      <c r="Z9" s="38">
        <v>280</v>
      </c>
      <c r="AA9" s="18">
        <v>0.92600000000000005</v>
      </c>
      <c r="AB9" s="39">
        <v>0.92600000000000005</v>
      </c>
      <c r="AC9" s="38">
        <v>45</v>
      </c>
      <c r="AD9" s="38">
        <v>16</v>
      </c>
      <c r="AE9" s="40">
        <v>55.985069984992336</v>
      </c>
      <c r="AF9" s="40">
        <v>6.6312009738589976</v>
      </c>
      <c r="AG9" s="37">
        <v>460.0869483043395</v>
      </c>
      <c r="AH9" s="40">
        <v>108.4</v>
      </c>
      <c r="AI9" s="38">
        <v>13041.773821008603</v>
      </c>
      <c r="AJ9" s="38"/>
    </row>
    <row r="10" spans="1:37">
      <c r="A10" s="17" t="s">
        <v>165</v>
      </c>
      <c r="B10" s="17">
        <v>602</v>
      </c>
      <c r="C10" s="17">
        <v>228</v>
      </c>
      <c r="D10" s="17">
        <v>14.8</v>
      </c>
      <c r="E10" s="17">
        <v>10.6</v>
      </c>
      <c r="F10" s="17">
        <v>14</v>
      </c>
      <c r="G10" s="17"/>
      <c r="H10" s="17">
        <v>13000</v>
      </c>
      <c r="I10" s="37">
        <v>12816.24</v>
      </c>
      <c r="J10" s="20">
        <v>761000000</v>
      </c>
      <c r="K10" s="20">
        <v>2530000</v>
      </c>
      <c r="L10" s="20">
        <v>2900000</v>
      </c>
      <c r="M10" s="20">
        <v>242</v>
      </c>
      <c r="N10" s="20">
        <v>29300000</v>
      </c>
      <c r="O10" s="20">
        <v>257000</v>
      </c>
      <c r="P10" s="20">
        <v>402000</v>
      </c>
      <c r="Q10" s="20">
        <v>47.5</v>
      </c>
      <c r="R10" s="20">
        <v>790000</v>
      </c>
      <c r="S10" s="20">
        <v>2530000000000</v>
      </c>
      <c r="T10" s="38"/>
      <c r="U10" s="38"/>
      <c r="V10" s="37">
        <v>572.4</v>
      </c>
      <c r="W10" s="37">
        <v>108.7</v>
      </c>
      <c r="X10" s="38">
        <v>1</v>
      </c>
      <c r="Y10" s="38">
        <v>320</v>
      </c>
      <c r="Z10" s="38">
        <v>300</v>
      </c>
      <c r="AA10" s="18">
        <v>0.88800000000000001</v>
      </c>
      <c r="AB10" s="39">
        <v>0.88800000000000001</v>
      </c>
      <c r="AC10" s="38">
        <v>45</v>
      </c>
      <c r="AD10" s="38">
        <v>16</v>
      </c>
      <c r="AE10" s="40">
        <v>61.094025894517706</v>
      </c>
      <c r="AF10" s="40">
        <v>8.0456002703799392</v>
      </c>
      <c r="AG10" s="37">
        <v>421.61241828247898</v>
      </c>
      <c r="AH10" s="40">
        <v>108.7</v>
      </c>
      <c r="AI10" s="38">
        <v>11217.891633794277</v>
      </c>
      <c r="AJ10" s="38"/>
    </row>
    <row r="11" spans="1:37">
      <c r="A11" s="17" t="s">
        <v>164</v>
      </c>
      <c r="B11" s="17">
        <v>533</v>
      </c>
      <c r="C11" s="17">
        <v>209</v>
      </c>
      <c r="D11" s="17">
        <v>15.6</v>
      </c>
      <c r="E11" s="17">
        <v>10.199999999999999</v>
      </c>
      <c r="F11" s="17">
        <v>14</v>
      </c>
      <c r="G11" s="17"/>
      <c r="H11" s="17">
        <v>11800</v>
      </c>
      <c r="I11" s="37">
        <v>11639.16</v>
      </c>
      <c r="J11" s="20">
        <v>554000000</v>
      </c>
      <c r="K11" s="20">
        <v>2080000</v>
      </c>
      <c r="L11" s="20">
        <v>2370000</v>
      </c>
      <c r="M11" s="20">
        <v>217</v>
      </c>
      <c r="N11" s="20">
        <v>23800000</v>
      </c>
      <c r="O11" s="20">
        <v>228000</v>
      </c>
      <c r="P11" s="20">
        <v>355000</v>
      </c>
      <c r="Q11" s="20">
        <v>44.9</v>
      </c>
      <c r="R11" s="20">
        <v>775000</v>
      </c>
      <c r="S11" s="20">
        <v>1590000000000</v>
      </c>
      <c r="T11" s="38"/>
      <c r="U11" s="38"/>
      <c r="V11" s="37">
        <v>501.8</v>
      </c>
      <c r="W11" s="37">
        <v>99.4</v>
      </c>
      <c r="X11" s="38">
        <v>1</v>
      </c>
      <c r="Y11" s="38">
        <v>320</v>
      </c>
      <c r="Z11" s="38">
        <v>300</v>
      </c>
      <c r="AA11" s="18">
        <v>0.92800000000000005</v>
      </c>
      <c r="AB11" s="39">
        <v>0.92800000000000005</v>
      </c>
      <c r="AC11" s="38">
        <v>45</v>
      </c>
      <c r="AD11" s="38">
        <v>16</v>
      </c>
      <c r="AE11" s="40">
        <v>55.65900906657405</v>
      </c>
      <c r="AF11" s="40">
        <v>6.9799515661555782</v>
      </c>
      <c r="AG11" s="37">
        <v>405.70251570578165</v>
      </c>
      <c r="AH11" s="40">
        <v>99.4</v>
      </c>
      <c r="AI11" s="38">
        <v>10658.965660198972</v>
      </c>
      <c r="AJ11" s="38"/>
    </row>
    <row r="12" spans="1:37">
      <c r="A12" s="17" t="s">
        <v>163</v>
      </c>
      <c r="B12" s="17">
        <v>528</v>
      </c>
      <c r="C12" s="17">
        <v>209</v>
      </c>
      <c r="D12" s="17">
        <v>13.2</v>
      </c>
      <c r="E12" s="17">
        <v>9.6</v>
      </c>
      <c r="F12" s="17">
        <v>14</v>
      </c>
      <c r="G12" s="17"/>
      <c r="H12" s="17">
        <v>10500</v>
      </c>
      <c r="I12" s="37">
        <v>10332.959999999999</v>
      </c>
      <c r="J12" s="20">
        <v>477000000</v>
      </c>
      <c r="K12" s="20">
        <v>1810000</v>
      </c>
      <c r="L12" s="20">
        <v>2070000</v>
      </c>
      <c r="M12" s="20">
        <v>213</v>
      </c>
      <c r="N12" s="20">
        <v>20100000</v>
      </c>
      <c r="O12" s="20">
        <v>193000</v>
      </c>
      <c r="P12" s="20">
        <v>301000</v>
      </c>
      <c r="Q12" s="20">
        <v>43.8</v>
      </c>
      <c r="R12" s="20">
        <v>526000</v>
      </c>
      <c r="S12" s="20">
        <v>1330000000000</v>
      </c>
      <c r="T12" s="38"/>
      <c r="U12" s="38"/>
      <c r="V12" s="37">
        <v>501.6</v>
      </c>
      <c r="W12" s="37">
        <v>99.7</v>
      </c>
      <c r="X12" s="38">
        <v>1</v>
      </c>
      <c r="Y12" s="38">
        <v>320</v>
      </c>
      <c r="Z12" s="38">
        <v>300</v>
      </c>
      <c r="AA12" s="18">
        <v>0.90200000000000002</v>
      </c>
      <c r="AB12" s="39">
        <v>0.90200000000000002</v>
      </c>
      <c r="AC12" s="38">
        <v>45</v>
      </c>
      <c r="AD12" s="38">
        <v>16</v>
      </c>
      <c r="AE12" s="40">
        <v>59.114126907195377</v>
      </c>
      <c r="AF12" s="40">
        <v>8.273930148979554</v>
      </c>
      <c r="AG12" s="37">
        <v>381.83766184073568</v>
      </c>
      <c r="AH12" s="40">
        <v>99.7</v>
      </c>
      <c r="AI12" s="38">
        <v>9183.2415536710632</v>
      </c>
      <c r="AJ12" s="38"/>
    </row>
    <row r="13" spans="1:37">
      <c r="A13" s="17" t="s">
        <v>162</v>
      </c>
      <c r="B13" s="17">
        <v>460</v>
      </c>
      <c r="C13" s="17">
        <v>191</v>
      </c>
      <c r="D13" s="17">
        <v>16</v>
      </c>
      <c r="E13" s="17">
        <v>9.9</v>
      </c>
      <c r="F13" s="17">
        <v>11.4</v>
      </c>
      <c r="G13" s="17"/>
      <c r="H13" s="17">
        <v>10500</v>
      </c>
      <c r="I13" s="37">
        <v>10349.200000000001</v>
      </c>
      <c r="J13" s="20">
        <v>372000000</v>
      </c>
      <c r="K13" s="20">
        <v>1610000</v>
      </c>
      <c r="L13" s="20">
        <v>1840000</v>
      </c>
      <c r="M13" s="20">
        <v>188</v>
      </c>
      <c r="N13" s="20">
        <v>18600000</v>
      </c>
      <c r="O13" s="20">
        <v>195000</v>
      </c>
      <c r="P13" s="20">
        <v>303000</v>
      </c>
      <c r="Q13" s="20">
        <v>42.2</v>
      </c>
      <c r="R13" s="20">
        <v>701000</v>
      </c>
      <c r="S13" s="20">
        <v>919000000000</v>
      </c>
      <c r="T13" s="38"/>
      <c r="U13" s="38"/>
      <c r="V13" s="37">
        <v>428</v>
      </c>
      <c r="W13" s="37">
        <v>90.55</v>
      </c>
      <c r="X13" s="38">
        <v>1</v>
      </c>
      <c r="Y13" s="38">
        <v>320</v>
      </c>
      <c r="Z13" s="38">
        <v>300</v>
      </c>
      <c r="AA13" s="18">
        <v>0.97899999999999998</v>
      </c>
      <c r="AB13" s="39">
        <v>0.97899999999999998</v>
      </c>
      <c r="AC13" s="38">
        <v>45</v>
      </c>
      <c r="AD13" s="38">
        <v>16</v>
      </c>
      <c r="AE13" s="40">
        <v>48.911790278439163</v>
      </c>
      <c r="AF13" s="40">
        <v>6.1995346977615986</v>
      </c>
      <c r="AG13" s="37">
        <v>393.77008877325864</v>
      </c>
      <c r="AH13" s="40">
        <v>90.55</v>
      </c>
      <c r="AI13" s="38">
        <v>10010.323878855259</v>
      </c>
      <c r="AJ13" s="38"/>
    </row>
    <row r="14" spans="1:37">
      <c r="A14" s="17" t="s">
        <v>161</v>
      </c>
      <c r="B14" s="17">
        <v>457</v>
      </c>
      <c r="C14" s="17">
        <v>190</v>
      </c>
      <c r="D14" s="17">
        <v>14.5</v>
      </c>
      <c r="E14" s="17">
        <v>9.1</v>
      </c>
      <c r="F14" s="17">
        <v>11.4</v>
      </c>
      <c r="G14" s="17"/>
      <c r="H14" s="17">
        <v>9520</v>
      </c>
      <c r="I14" s="37">
        <v>9404.7999999999993</v>
      </c>
      <c r="J14" s="20">
        <v>335000000</v>
      </c>
      <c r="K14" s="20">
        <v>1460000</v>
      </c>
      <c r="L14" s="20">
        <v>1660000</v>
      </c>
      <c r="M14" s="20">
        <v>188</v>
      </c>
      <c r="N14" s="20">
        <v>16600000</v>
      </c>
      <c r="O14" s="20">
        <v>175000</v>
      </c>
      <c r="P14" s="20">
        <v>271000</v>
      </c>
      <c r="Q14" s="20">
        <v>41.8</v>
      </c>
      <c r="R14" s="20">
        <v>530000</v>
      </c>
      <c r="S14" s="20">
        <v>815000000000</v>
      </c>
      <c r="T14" s="38"/>
      <c r="U14" s="38"/>
      <c r="V14" s="37">
        <v>428</v>
      </c>
      <c r="W14" s="37">
        <v>90.45</v>
      </c>
      <c r="X14" s="38">
        <v>1</v>
      </c>
      <c r="Y14" s="38">
        <v>320</v>
      </c>
      <c r="Z14" s="38">
        <v>300</v>
      </c>
      <c r="AA14" s="18">
        <v>0.94799999999999995</v>
      </c>
      <c r="AB14" s="39">
        <v>0.94799999999999995</v>
      </c>
      <c r="AC14" s="38">
        <v>45</v>
      </c>
      <c r="AD14" s="38">
        <v>16</v>
      </c>
      <c r="AE14" s="40">
        <v>53.211727885334923</v>
      </c>
      <c r="AF14" s="40">
        <v>6.8333110794954859</v>
      </c>
      <c r="AG14" s="37">
        <v>361.95028361986397</v>
      </c>
      <c r="AH14" s="40">
        <v>90.45</v>
      </c>
      <c r="AI14" s="38">
        <v>8803.7475809407624</v>
      </c>
      <c r="AJ14" s="38"/>
    </row>
    <row r="15" spans="1:37">
      <c r="A15" s="17" t="s">
        <v>160</v>
      </c>
      <c r="B15" s="17">
        <v>454</v>
      </c>
      <c r="C15" s="17">
        <v>190</v>
      </c>
      <c r="D15" s="17">
        <v>12.7</v>
      </c>
      <c r="E15" s="17">
        <v>8.5</v>
      </c>
      <c r="F15" s="17">
        <v>11.4</v>
      </c>
      <c r="G15" s="17"/>
      <c r="H15" s="17">
        <v>8580</v>
      </c>
      <c r="I15" s="37">
        <v>8469.1</v>
      </c>
      <c r="J15" s="20">
        <v>296000000</v>
      </c>
      <c r="K15" s="20">
        <v>1300000</v>
      </c>
      <c r="L15" s="20">
        <v>1480000</v>
      </c>
      <c r="M15" s="20">
        <v>186</v>
      </c>
      <c r="N15" s="20">
        <v>14500000</v>
      </c>
      <c r="O15" s="20">
        <v>153000</v>
      </c>
      <c r="P15" s="20">
        <v>238000</v>
      </c>
      <c r="Q15" s="20">
        <v>41.2</v>
      </c>
      <c r="R15" s="20">
        <v>378000</v>
      </c>
      <c r="S15" s="20">
        <v>708000000000</v>
      </c>
      <c r="T15" s="38"/>
      <c r="U15" s="38"/>
      <c r="V15" s="61">
        <v>428.6</v>
      </c>
      <c r="W15" s="61">
        <v>90.75</v>
      </c>
      <c r="X15" s="38">
        <v>1</v>
      </c>
      <c r="Y15" s="62">
        <v>320</v>
      </c>
      <c r="Z15" s="62">
        <v>300</v>
      </c>
      <c r="AA15" s="63">
        <v>0.92200000000000004</v>
      </c>
      <c r="AB15" s="63">
        <v>0.92200000000000004</v>
      </c>
      <c r="AC15" s="62">
        <v>45</v>
      </c>
      <c r="AD15" s="62">
        <v>16</v>
      </c>
      <c r="AE15" s="40">
        <v>57.047711325469045</v>
      </c>
      <c r="AF15" s="64">
        <v>7.8276885186761929</v>
      </c>
      <c r="AG15" s="61">
        <v>338.08542975481799</v>
      </c>
      <c r="AH15" s="64">
        <v>90.75</v>
      </c>
      <c r="AI15" s="62">
        <v>7699.7261529159514</v>
      </c>
      <c r="AJ15" s="38"/>
    </row>
    <row r="16" spans="1:37">
      <c r="A16" s="17" t="s">
        <v>159</v>
      </c>
      <c r="B16" s="17">
        <v>406</v>
      </c>
      <c r="C16" s="17">
        <v>178</v>
      </c>
      <c r="D16" s="17">
        <v>12.8</v>
      </c>
      <c r="E16" s="17">
        <v>7.8</v>
      </c>
      <c r="F16" s="17">
        <v>11.4</v>
      </c>
      <c r="G16" s="17"/>
      <c r="H16" s="17">
        <v>7640</v>
      </c>
      <c r="I16" s="37">
        <v>7523.92</v>
      </c>
      <c r="J16" s="20">
        <v>216000000</v>
      </c>
      <c r="K16" s="20">
        <v>1060000</v>
      </c>
      <c r="L16" s="20">
        <v>1200000</v>
      </c>
      <c r="M16" s="20">
        <v>168</v>
      </c>
      <c r="N16" s="20">
        <v>12100000</v>
      </c>
      <c r="O16" s="20">
        <v>135000</v>
      </c>
      <c r="P16" s="20">
        <v>209000</v>
      </c>
      <c r="Q16" s="20">
        <v>39.700000000000003</v>
      </c>
      <c r="R16" s="20">
        <v>337000</v>
      </c>
      <c r="S16" s="20">
        <v>467000000000</v>
      </c>
      <c r="T16" s="38"/>
      <c r="U16" s="38"/>
      <c r="V16" s="37">
        <v>380.4</v>
      </c>
      <c r="W16" s="37">
        <v>85.1</v>
      </c>
      <c r="X16" s="38">
        <v>1</v>
      </c>
      <c r="Y16" s="38">
        <v>320</v>
      </c>
      <c r="Z16" s="38">
        <v>300</v>
      </c>
      <c r="AA16" s="18">
        <v>0.93799999999999994</v>
      </c>
      <c r="AB16" s="39">
        <v>0.93799999999999994</v>
      </c>
      <c r="AC16" s="38">
        <v>45</v>
      </c>
      <c r="AD16" s="38">
        <v>16</v>
      </c>
      <c r="AE16" s="40">
        <v>55.176086064279517</v>
      </c>
      <c r="AF16" s="40">
        <v>7.2829983818265038</v>
      </c>
      <c r="AG16" s="37">
        <v>310.24310024559776</v>
      </c>
      <c r="AH16" s="40">
        <v>85.1</v>
      </c>
      <c r="AI16" s="38">
        <v>6976.6961819156622</v>
      </c>
      <c r="AJ16" s="38"/>
    </row>
    <row r="17" spans="1:36">
      <c r="A17" s="17" t="s">
        <v>158</v>
      </c>
      <c r="B17" s="17">
        <v>403</v>
      </c>
      <c r="C17" s="17">
        <v>178</v>
      </c>
      <c r="D17" s="17">
        <v>10.9</v>
      </c>
      <c r="E17" s="17">
        <v>7.6</v>
      </c>
      <c r="F17" s="17">
        <v>11.4</v>
      </c>
      <c r="G17" s="17"/>
      <c r="H17" s="17">
        <v>6890</v>
      </c>
      <c r="I17" s="37">
        <v>6777.52</v>
      </c>
      <c r="J17" s="20">
        <v>188000000</v>
      </c>
      <c r="K17" s="20">
        <v>933000</v>
      </c>
      <c r="L17" s="20">
        <v>1060000</v>
      </c>
      <c r="M17" s="20">
        <v>165</v>
      </c>
      <c r="N17" s="20">
        <v>10300000</v>
      </c>
      <c r="O17" s="20">
        <v>115000</v>
      </c>
      <c r="P17" s="20">
        <v>179000</v>
      </c>
      <c r="Q17" s="20">
        <v>38.6</v>
      </c>
      <c r="R17" s="20">
        <v>234000</v>
      </c>
      <c r="S17" s="20">
        <v>394000000000</v>
      </c>
      <c r="T17" s="38"/>
      <c r="U17" s="38"/>
      <c r="V17" s="37">
        <v>381.2</v>
      </c>
      <c r="W17" s="37">
        <v>85.2</v>
      </c>
      <c r="X17" s="38">
        <v>1</v>
      </c>
      <c r="Y17" s="38">
        <v>320</v>
      </c>
      <c r="Z17" s="38">
        <v>320</v>
      </c>
      <c r="AA17" s="18">
        <v>0.91300000000000003</v>
      </c>
      <c r="AB17" s="39">
        <v>0.91300000000000003</v>
      </c>
      <c r="AC17" s="38">
        <v>45</v>
      </c>
      <c r="AD17" s="38">
        <v>16</v>
      </c>
      <c r="AE17" s="40">
        <v>56.747179997539348</v>
      </c>
      <c r="AF17" s="40">
        <v>8.8433758175550601</v>
      </c>
      <c r="AG17" s="37">
        <v>302.28814895724906</v>
      </c>
      <c r="AH17" s="40">
        <v>85.2</v>
      </c>
      <c r="AI17" s="38">
        <v>6177.789932075093</v>
      </c>
      <c r="AJ17" s="38"/>
    </row>
    <row r="18" spans="1:36">
      <c r="A18" s="17" t="s">
        <v>157</v>
      </c>
      <c r="B18" s="17">
        <v>359</v>
      </c>
      <c r="C18" s="17">
        <v>172</v>
      </c>
      <c r="D18" s="17">
        <v>13</v>
      </c>
      <c r="E18" s="17">
        <v>8</v>
      </c>
      <c r="F18" s="17">
        <v>11.4</v>
      </c>
      <c r="G18" s="17"/>
      <c r="H18" s="17">
        <v>7240</v>
      </c>
      <c r="I18" s="37">
        <v>7136</v>
      </c>
      <c r="J18" s="20">
        <v>161000000</v>
      </c>
      <c r="K18" s="20">
        <v>899000</v>
      </c>
      <c r="L18" s="20">
        <v>1010000</v>
      </c>
      <c r="M18" s="20">
        <v>149</v>
      </c>
      <c r="N18" s="20">
        <v>11000000</v>
      </c>
      <c r="O18" s="20">
        <v>128000</v>
      </c>
      <c r="P18" s="20">
        <v>198000</v>
      </c>
      <c r="Q18" s="20">
        <v>39</v>
      </c>
      <c r="R18" s="20">
        <v>338000</v>
      </c>
      <c r="S18" s="20">
        <v>330000000000</v>
      </c>
      <c r="T18" s="38"/>
      <c r="U18" s="38"/>
      <c r="V18" s="37">
        <v>333</v>
      </c>
      <c r="W18" s="37">
        <v>82</v>
      </c>
      <c r="X18" s="38">
        <v>1</v>
      </c>
      <c r="Y18" s="38">
        <v>320</v>
      </c>
      <c r="Z18" s="38">
        <v>300</v>
      </c>
      <c r="AA18" s="18">
        <v>0.996</v>
      </c>
      <c r="AB18" s="39">
        <v>0.996</v>
      </c>
      <c r="AC18" s="38">
        <v>45</v>
      </c>
      <c r="AD18" s="38">
        <v>16</v>
      </c>
      <c r="AE18" s="40">
        <v>47.093311627024065</v>
      </c>
      <c r="AF18" s="40">
        <v>6.9097307254497871</v>
      </c>
      <c r="AG18" s="37">
        <v>318.1980515339464</v>
      </c>
      <c r="AH18" s="40">
        <v>82</v>
      </c>
      <c r="AI18" s="38">
        <v>7017.5844122715716</v>
      </c>
      <c r="AJ18" s="38"/>
    </row>
    <row r="19" spans="1:36">
      <c r="A19" s="15" t="s">
        <v>156</v>
      </c>
      <c r="B19" s="20">
        <v>356</v>
      </c>
      <c r="C19" s="20">
        <v>171</v>
      </c>
      <c r="D19" s="20">
        <v>11.5</v>
      </c>
      <c r="E19" s="20">
        <v>7.3</v>
      </c>
      <c r="F19" s="17">
        <v>11.4</v>
      </c>
      <c r="G19" s="17"/>
      <c r="H19" s="17">
        <v>6470</v>
      </c>
      <c r="I19" s="37">
        <v>6363.9</v>
      </c>
      <c r="J19" s="20">
        <v>142000000</v>
      </c>
      <c r="K19" s="20">
        <v>798000</v>
      </c>
      <c r="L19" s="20">
        <v>897000</v>
      </c>
      <c r="M19" s="20">
        <v>148</v>
      </c>
      <c r="N19" s="20">
        <v>9600000</v>
      </c>
      <c r="O19" s="20">
        <v>112000</v>
      </c>
      <c r="P19" s="20">
        <v>173000</v>
      </c>
      <c r="Q19" s="20">
        <v>38.5</v>
      </c>
      <c r="R19" s="20">
        <v>241000</v>
      </c>
      <c r="S19" s="46">
        <v>284000000000</v>
      </c>
      <c r="T19" s="38"/>
      <c r="U19" s="38"/>
      <c r="V19" s="37">
        <v>333</v>
      </c>
      <c r="W19" s="37">
        <v>81.849999999999994</v>
      </c>
      <c r="X19" s="38">
        <v>1</v>
      </c>
      <c r="Y19" s="38">
        <v>320</v>
      </c>
      <c r="Z19" s="38">
        <v>300</v>
      </c>
      <c r="AA19" s="18">
        <v>0.96299999999999997</v>
      </c>
      <c r="AB19" s="39">
        <v>0.96299999999999997</v>
      </c>
      <c r="AC19" s="38">
        <v>45</v>
      </c>
      <c r="AD19" s="38">
        <v>16</v>
      </c>
      <c r="AE19" s="40">
        <v>51.609108632355145</v>
      </c>
      <c r="AF19" s="40">
        <v>7.7967115359648416</v>
      </c>
      <c r="AG19" s="37">
        <v>290.35572202472605</v>
      </c>
      <c r="AH19" s="40">
        <v>81.849999999999994</v>
      </c>
      <c r="AI19" s="38">
        <v>6052.5967707804994</v>
      </c>
      <c r="AJ19" s="38"/>
    </row>
    <row r="20" spans="1:36">
      <c r="A20" s="15" t="s">
        <v>155</v>
      </c>
      <c r="B20" s="20">
        <v>352</v>
      </c>
      <c r="C20" s="20">
        <v>171</v>
      </c>
      <c r="D20" s="20">
        <v>9.6999999999999993</v>
      </c>
      <c r="E20" s="20">
        <v>6.9</v>
      </c>
      <c r="F20" s="17">
        <v>11.4</v>
      </c>
      <c r="G20" s="17"/>
      <c r="H20" s="17">
        <v>5720</v>
      </c>
      <c r="I20" s="37">
        <v>5612.34</v>
      </c>
      <c r="J20" s="20">
        <v>121000000</v>
      </c>
      <c r="K20" s="20">
        <v>689000</v>
      </c>
      <c r="L20" s="20">
        <v>777000</v>
      </c>
      <c r="M20" s="20">
        <v>146</v>
      </c>
      <c r="N20" s="20">
        <v>8100000</v>
      </c>
      <c r="O20" s="20">
        <v>94700</v>
      </c>
      <c r="P20" s="20">
        <v>146000</v>
      </c>
      <c r="Q20" s="20">
        <v>37.6</v>
      </c>
      <c r="R20" s="20">
        <v>161000</v>
      </c>
      <c r="S20" s="46">
        <v>237000000000</v>
      </c>
      <c r="T20" s="38"/>
      <c r="U20" s="38"/>
      <c r="V20" s="37">
        <v>332.6</v>
      </c>
      <c r="W20" s="37">
        <v>82.05</v>
      </c>
      <c r="X20" s="38">
        <v>1</v>
      </c>
      <c r="Y20" s="38">
        <v>320</v>
      </c>
      <c r="Z20" s="38">
        <v>320</v>
      </c>
      <c r="AA20" s="18">
        <v>0.93</v>
      </c>
      <c r="AB20" s="39">
        <v>0.93</v>
      </c>
      <c r="AC20" s="38">
        <v>45</v>
      </c>
      <c r="AD20" s="38">
        <v>16</v>
      </c>
      <c r="AE20" s="40">
        <v>54.535354300903357</v>
      </c>
      <c r="AF20" s="40">
        <v>9.5699977560999958</v>
      </c>
      <c r="AG20" s="37">
        <v>274.44581944802877</v>
      </c>
      <c r="AH20" s="40">
        <v>82.05</v>
      </c>
      <c r="AI20" s="38">
        <v>5211.076154191398</v>
      </c>
      <c r="AJ20" s="38"/>
    </row>
    <row r="21" spans="1:36">
      <c r="A21" s="17" t="s">
        <v>154</v>
      </c>
      <c r="B21" s="17">
        <v>307</v>
      </c>
      <c r="C21" s="17">
        <v>166</v>
      </c>
      <c r="D21" s="17">
        <v>11.8</v>
      </c>
      <c r="E21" s="17">
        <v>6.7</v>
      </c>
      <c r="F21" s="17">
        <v>11.4</v>
      </c>
      <c r="G21" s="17"/>
      <c r="H21" s="17">
        <v>5930</v>
      </c>
      <c r="I21" s="37">
        <v>5816.38</v>
      </c>
      <c r="J21" s="20">
        <v>100000000</v>
      </c>
      <c r="K21" s="20">
        <v>654000</v>
      </c>
      <c r="L21" s="20">
        <v>729000</v>
      </c>
      <c r="M21" s="20">
        <v>130</v>
      </c>
      <c r="N21" s="20">
        <v>9010000</v>
      </c>
      <c r="O21" s="20">
        <v>109000</v>
      </c>
      <c r="P21" s="20">
        <v>166000</v>
      </c>
      <c r="Q21" s="20">
        <v>39</v>
      </c>
      <c r="R21" s="20">
        <v>233000</v>
      </c>
      <c r="S21" s="46">
        <v>197000000000</v>
      </c>
      <c r="T21" s="38"/>
      <c r="U21" s="38"/>
      <c r="V21" s="37">
        <v>283.39999999999998</v>
      </c>
      <c r="W21" s="37">
        <v>79.650000000000006</v>
      </c>
      <c r="X21" s="38">
        <v>1</v>
      </c>
      <c r="Y21" s="38">
        <v>320</v>
      </c>
      <c r="Z21" s="38">
        <v>300</v>
      </c>
      <c r="AA21" s="18">
        <v>0.99099999999999999</v>
      </c>
      <c r="AB21" s="39">
        <v>0.99099999999999999</v>
      </c>
      <c r="AC21" s="38">
        <v>45</v>
      </c>
      <c r="AD21" s="38">
        <v>16</v>
      </c>
      <c r="AE21" s="40">
        <v>47.855298337496727</v>
      </c>
      <c r="AF21" s="40">
        <v>7.3942545263197417</v>
      </c>
      <c r="AG21" s="37">
        <v>266.49086815968013</v>
      </c>
      <c r="AH21" s="40">
        <v>79.650000000000006</v>
      </c>
      <c r="AI21" s="38">
        <v>5703.0888166698578</v>
      </c>
      <c r="AJ21" s="38"/>
    </row>
    <row r="22" spans="1:36">
      <c r="A22" s="17" t="s">
        <v>153</v>
      </c>
      <c r="B22" s="20">
        <v>304</v>
      </c>
      <c r="C22" s="17">
        <v>165</v>
      </c>
      <c r="D22" s="17">
        <v>10.199999999999999</v>
      </c>
      <c r="E22" s="17">
        <v>6.1</v>
      </c>
      <c r="F22" s="17">
        <v>11.4</v>
      </c>
      <c r="G22" s="17"/>
      <c r="H22" s="17">
        <v>5210</v>
      </c>
      <c r="I22" s="37">
        <v>5095.9599999999991</v>
      </c>
      <c r="J22" s="17">
        <v>86400000</v>
      </c>
      <c r="K22" s="17">
        <v>569000</v>
      </c>
      <c r="L22" s="17">
        <v>633000</v>
      </c>
      <c r="M22" s="20">
        <v>129</v>
      </c>
      <c r="N22" s="20">
        <v>7650000</v>
      </c>
      <c r="O22" s="20">
        <v>92700</v>
      </c>
      <c r="P22" s="20">
        <v>142000</v>
      </c>
      <c r="Q22" s="20">
        <v>38.299999999999997</v>
      </c>
      <c r="R22" s="20">
        <v>157000</v>
      </c>
      <c r="S22" s="46">
        <v>165000000000</v>
      </c>
      <c r="T22" s="38"/>
      <c r="U22" s="38"/>
      <c r="V22" s="37">
        <v>283.60000000000002</v>
      </c>
      <c r="W22" s="37">
        <v>79.45</v>
      </c>
      <c r="X22" s="38">
        <v>1</v>
      </c>
      <c r="Y22" s="38">
        <v>320</v>
      </c>
      <c r="Z22" s="38">
        <v>320</v>
      </c>
      <c r="AA22" s="18">
        <v>0.95199999999999996</v>
      </c>
      <c r="AB22" s="39">
        <v>0.95199999999999996</v>
      </c>
      <c r="AC22" s="38">
        <v>45</v>
      </c>
      <c r="AD22" s="38">
        <v>16</v>
      </c>
      <c r="AE22" s="40">
        <v>52.599470988722594</v>
      </c>
      <c r="AF22" s="40">
        <v>8.8124915710229335</v>
      </c>
      <c r="AG22" s="37">
        <v>242.62601429463413</v>
      </c>
      <c r="AH22" s="40">
        <v>79.45</v>
      </c>
      <c r="AI22" s="38">
        <v>4846.0186871972674</v>
      </c>
      <c r="AJ22" s="38"/>
    </row>
    <row r="23" spans="1:36">
      <c r="A23" s="17" t="s">
        <v>152</v>
      </c>
      <c r="B23" s="20">
        <v>298</v>
      </c>
      <c r="C23" s="17">
        <v>149</v>
      </c>
      <c r="D23" s="17">
        <v>8</v>
      </c>
      <c r="E23" s="17">
        <v>5.5</v>
      </c>
      <c r="F23" s="17">
        <v>13</v>
      </c>
      <c r="G23" s="17"/>
      <c r="H23" s="17">
        <v>4080</v>
      </c>
      <c r="I23" s="37">
        <v>3935</v>
      </c>
      <c r="J23" s="17">
        <v>63200000</v>
      </c>
      <c r="K23" s="17">
        <v>424000</v>
      </c>
      <c r="L23" s="17">
        <v>475000</v>
      </c>
      <c r="M23" s="20">
        <v>124</v>
      </c>
      <c r="N23" s="20">
        <v>4420000</v>
      </c>
      <c r="O23" s="20">
        <v>59300</v>
      </c>
      <c r="P23" s="20">
        <v>91800</v>
      </c>
      <c r="Q23" s="20">
        <v>32.9</v>
      </c>
      <c r="R23" s="20">
        <v>86500</v>
      </c>
      <c r="S23" s="46">
        <v>92900000000</v>
      </c>
      <c r="T23" s="38"/>
      <c r="U23" s="38"/>
      <c r="V23" s="37">
        <v>282</v>
      </c>
      <c r="W23" s="37">
        <v>71.75</v>
      </c>
      <c r="X23" s="38">
        <v>1</v>
      </c>
      <c r="Y23" s="38">
        <v>320</v>
      </c>
      <c r="Z23" s="38">
        <v>320</v>
      </c>
      <c r="AA23" s="18">
        <v>0.91500000000000004</v>
      </c>
      <c r="AB23" s="39">
        <v>0.91500000000000004</v>
      </c>
      <c r="AC23" s="38">
        <v>45</v>
      </c>
      <c r="AD23" s="38">
        <v>16</v>
      </c>
      <c r="AE23" s="40">
        <v>58.008469031158228</v>
      </c>
      <c r="AF23" s="40">
        <v>10.146982310026956</v>
      </c>
      <c r="AG23" s="37">
        <v>218.76116042958813</v>
      </c>
      <c r="AH23" s="40">
        <v>71.75</v>
      </c>
      <c r="AI23" s="38">
        <v>3587.1863823627345</v>
      </c>
      <c r="AJ23" s="38"/>
    </row>
    <row r="24" spans="1:36">
      <c r="A24" s="17" t="s">
        <v>151</v>
      </c>
      <c r="B24" s="16">
        <v>256</v>
      </c>
      <c r="C24" s="16">
        <v>146</v>
      </c>
      <c r="D24" s="16">
        <v>10.9</v>
      </c>
      <c r="E24" s="16">
        <v>6.4</v>
      </c>
      <c r="F24" s="16">
        <v>8.9</v>
      </c>
      <c r="G24" s="17"/>
      <c r="H24" s="16">
        <v>4750</v>
      </c>
      <c r="I24" s="37">
        <v>4681.68</v>
      </c>
      <c r="J24" s="20">
        <v>55700000</v>
      </c>
      <c r="K24" s="20">
        <v>435000</v>
      </c>
      <c r="L24" s="20">
        <v>486000</v>
      </c>
      <c r="M24" s="20">
        <v>108</v>
      </c>
      <c r="N24" s="20">
        <v>5660000</v>
      </c>
      <c r="O24" s="20">
        <v>77500</v>
      </c>
      <c r="P24" s="20">
        <v>119000</v>
      </c>
      <c r="Q24" s="20">
        <v>34.5</v>
      </c>
      <c r="R24" s="20">
        <v>158000</v>
      </c>
      <c r="S24" s="46">
        <v>85200000000</v>
      </c>
      <c r="T24" s="38"/>
      <c r="U24" s="38"/>
      <c r="V24" s="37">
        <v>234.2</v>
      </c>
      <c r="W24" s="37">
        <v>69.8</v>
      </c>
      <c r="X24" s="38">
        <v>1</v>
      </c>
      <c r="Y24" s="38">
        <v>320</v>
      </c>
      <c r="Z24" s="38">
        <v>320</v>
      </c>
      <c r="AA24" s="18">
        <v>1</v>
      </c>
      <c r="AB24" s="39">
        <v>1</v>
      </c>
      <c r="AC24" s="38">
        <v>45</v>
      </c>
      <c r="AD24" s="38">
        <v>16</v>
      </c>
      <c r="AE24" s="40">
        <v>41.401102038472352</v>
      </c>
      <c r="AF24" s="40">
        <v>7.2449252589829012</v>
      </c>
      <c r="AG24" s="37">
        <v>234.2</v>
      </c>
      <c r="AH24" s="40">
        <v>69.8</v>
      </c>
      <c r="AI24" s="38">
        <v>4681.68</v>
      </c>
      <c r="AJ24" s="38"/>
    </row>
    <row r="25" spans="1:36">
      <c r="A25" s="15" t="s">
        <v>150</v>
      </c>
      <c r="B25" s="20">
        <v>252</v>
      </c>
      <c r="C25" s="20">
        <v>146</v>
      </c>
      <c r="D25" s="20">
        <v>8.6</v>
      </c>
      <c r="E25" s="20">
        <v>6.1</v>
      </c>
      <c r="F25" s="17">
        <v>8.9</v>
      </c>
      <c r="G25" s="17"/>
      <c r="H25" s="17">
        <v>4010</v>
      </c>
      <c r="I25" s="37">
        <v>3943.4799999999996</v>
      </c>
      <c r="J25" s="20">
        <v>44500000</v>
      </c>
      <c r="K25" s="20">
        <v>354000</v>
      </c>
      <c r="L25" s="20">
        <v>397000</v>
      </c>
      <c r="M25" s="20">
        <v>105</v>
      </c>
      <c r="N25" s="20">
        <v>4470000</v>
      </c>
      <c r="O25" s="20">
        <v>61200</v>
      </c>
      <c r="P25" s="20">
        <v>94200</v>
      </c>
      <c r="Q25" s="20">
        <v>33.4</v>
      </c>
      <c r="R25" s="20">
        <v>89300</v>
      </c>
      <c r="S25" s="46">
        <v>65900000000</v>
      </c>
      <c r="T25" s="38"/>
      <c r="U25" s="38"/>
      <c r="V25" s="37">
        <v>234.8</v>
      </c>
      <c r="W25" s="37">
        <v>69.95</v>
      </c>
      <c r="X25" s="38">
        <v>1</v>
      </c>
      <c r="Y25" s="38">
        <v>320</v>
      </c>
      <c r="Z25" s="38">
        <v>320</v>
      </c>
      <c r="AA25" s="18">
        <v>1</v>
      </c>
      <c r="AB25" s="39">
        <v>1</v>
      </c>
      <c r="AC25" s="38">
        <v>45</v>
      </c>
      <c r="AD25" s="38">
        <v>16</v>
      </c>
      <c r="AE25" s="40">
        <v>43.548504189534789</v>
      </c>
      <c r="AF25" s="40">
        <v>9.202254761674233</v>
      </c>
      <c r="AG25" s="37">
        <v>234.8</v>
      </c>
      <c r="AH25" s="40">
        <v>69.95</v>
      </c>
      <c r="AI25" s="38">
        <v>3943.4800000000005</v>
      </c>
      <c r="AJ25" s="38"/>
    </row>
    <row r="26" spans="1:36">
      <c r="A26" s="15" t="s">
        <v>149</v>
      </c>
      <c r="B26" s="20">
        <v>248</v>
      </c>
      <c r="C26" s="20">
        <v>124</v>
      </c>
      <c r="D26" s="20">
        <v>8</v>
      </c>
      <c r="E26" s="20">
        <v>5</v>
      </c>
      <c r="F26" s="17">
        <v>12</v>
      </c>
      <c r="G26" s="17"/>
      <c r="H26" s="17">
        <v>3270</v>
      </c>
      <c r="I26" s="37">
        <v>3144</v>
      </c>
      <c r="J26" s="20">
        <v>35400000</v>
      </c>
      <c r="K26" s="20">
        <v>285000</v>
      </c>
      <c r="L26" s="20">
        <v>319000</v>
      </c>
      <c r="M26" s="20">
        <v>104</v>
      </c>
      <c r="N26" s="20">
        <v>2550000</v>
      </c>
      <c r="O26" s="20">
        <v>41100</v>
      </c>
      <c r="P26" s="20">
        <v>63600</v>
      </c>
      <c r="Q26" s="20">
        <v>27.9</v>
      </c>
      <c r="R26" s="20">
        <v>67400</v>
      </c>
      <c r="S26" s="46">
        <v>36700000000</v>
      </c>
      <c r="T26" s="38"/>
      <c r="U26" s="38"/>
      <c r="V26" s="37">
        <v>232</v>
      </c>
      <c r="W26" s="37">
        <v>59.5</v>
      </c>
      <c r="X26" s="38">
        <v>1</v>
      </c>
      <c r="Y26" s="38">
        <v>320</v>
      </c>
      <c r="Z26" s="38">
        <v>320</v>
      </c>
      <c r="AA26" s="18">
        <v>0.94899999999999995</v>
      </c>
      <c r="AB26" s="39">
        <v>0.94899999999999995</v>
      </c>
      <c r="AC26" s="38">
        <v>45</v>
      </c>
      <c r="AD26" s="38">
        <v>16</v>
      </c>
      <c r="AE26" s="40">
        <v>52.495607435289287</v>
      </c>
      <c r="AF26" s="40">
        <v>8.4145706961199149</v>
      </c>
      <c r="AG26" s="37">
        <v>198.87378220871648</v>
      </c>
      <c r="AH26" s="40">
        <v>59.5</v>
      </c>
      <c r="AI26" s="38">
        <v>2978.3689110435826</v>
      </c>
      <c r="AJ26" s="38"/>
    </row>
    <row r="27" spans="1:36">
      <c r="A27" s="15" t="s">
        <v>148</v>
      </c>
      <c r="B27" s="20">
        <v>207</v>
      </c>
      <c r="C27" s="20">
        <v>134</v>
      </c>
      <c r="D27" s="20">
        <v>9.6</v>
      </c>
      <c r="E27" s="20">
        <v>6.3</v>
      </c>
      <c r="F27" s="17">
        <v>8.9</v>
      </c>
      <c r="G27" s="17"/>
      <c r="H27" s="17">
        <v>3820</v>
      </c>
      <c r="I27" s="37">
        <v>3755.9399999999996</v>
      </c>
      <c r="J27" s="20">
        <v>29100000</v>
      </c>
      <c r="K27" s="20">
        <v>281000</v>
      </c>
      <c r="L27" s="20">
        <v>316000</v>
      </c>
      <c r="M27" s="20">
        <v>87.3</v>
      </c>
      <c r="N27" s="20">
        <v>3860000</v>
      </c>
      <c r="O27" s="20">
        <v>57500</v>
      </c>
      <c r="P27" s="20">
        <v>88400</v>
      </c>
      <c r="Q27" s="20">
        <v>31.8</v>
      </c>
      <c r="R27" s="20">
        <v>105000</v>
      </c>
      <c r="S27" s="46">
        <v>37600000000</v>
      </c>
      <c r="T27" s="38"/>
      <c r="U27" s="38"/>
      <c r="V27" s="37">
        <v>187.8</v>
      </c>
      <c r="W27" s="37">
        <v>63.85</v>
      </c>
      <c r="X27" s="38">
        <v>1</v>
      </c>
      <c r="Y27" s="38">
        <v>320</v>
      </c>
      <c r="Z27" s="38">
        <v>320</v>
      </c>
      <c r="AA27" s="18">
        <v>1</v>
      </c>
      <c r="AB27" s="39">
        <v>1</v>
      </c>
      <c r="AC27" s="38">
        <v>45</v>
      </c>
      <c r="AD27" s="38">
        <v>16</v>
      </c>
      <c r="AE27" s="40">
        <v>33.725626287449813</v>
      </c>
      <c r="AF27" s="40">
        <v>7.5247946631268432</v>
      </c>
      <c r="AG27" s="37">
        <v>187.8</v>
      </c>
      <c r="AH27" s="40">
        <v>63.85</v>
      </c>
      <c r="AI27" s="38">
        <v>3755.9400000000005</v>
      </c>
      <c r="AJ27" s="38"/>
    </row>
    <row r="28" spans="1:36">
      <c r="A28" s="15" t="s">
        <v>147</v>
      </c>
      <c r="B28" s="20">
        <v>203</v>
      </c>
      <c r="C28" s="20">
        <v>133</v>
      </c>
      <c r="D28" s="20">
        <v>7.8</v>
      </c>
      <c r="E28" s="20">
        <v>5.8</v>
      </c>
      <c r="F28" s="17">
        <v>8.9</v>
      </c>
      <c r="G28" s="17"/>
      <c r="H28" s="17">
        <v>3230</v>
      </c>
      <c r="I28" s="37">
        <v>3161.72</v>
      </c>
      <c r="J28" s="20">
        <v>23600000</v>
      </c>
      <c r="K28" s="20">
        <v>232000</v>
      </c>
      <c r="L28" s="20">
        <v>260000</v>
      </c>
      <c r="M28" s="20">
        <v>85.4</v>
      </c>
      <c r="N28" s="20">
        <v>3060000</v>
      </c>
      <c r="O28" s="20">
        <v>46100</v>
      </c>
      <c r="P28" s="20">
        <v>70900</v>
      </c>
      <c r="Q28" s="20">
        <v>30.8</v>
      </c>
      <c r="R28" s="20">
        <v>62700</v>
      </c>
      <c r="S28" s="46">
        <v>29200000000</v>
      </c>
      <c r="T28" s="38"/>
      <c r="U28" s="38"/>
      <c r="V28" s="37">
        <v>187.4</v>
      </c>
      <c r="W28" s="37">
        <v>63.6</v>
      </c>
      <c r="X28" s="38">
        <v>1</v>
      </c>
      <c r="Y28" s="38">
        <v>320</v>
      </c>
      <c r="Z28" s="38">
        <v>320</v>
      </c>
      <c r="AA28" s="18">
        <v>1</v>
      </c>
      <c r="AB28" s="39">
        <v>1</v>
      </c>
      <c r="AC28" s="38">
        <v>45</v>
      </c>
      <c r="AD28" s="38">
        <v>16</v>
      </c>
      <c r="AE28" s="40">
        <v>36.554982288099033</v>
      </c>
      <c r="AF28" s="40">
        <v>9.2250238530183442</v>
      </c>
      <c r="AG28" s="37">
        <v>187.4</v>
      </c>
      <c r="AH28" s="40">
        <v>63.6</v>
      </c>
      <c r="AI28" s="38">
        <v>3161.72</v>
      </c>
      <c r="AJ28" s="38"/>
    </row>
    <row r="29" spans="1:36">
      <c r="A29" s="15" t="s">
        <v>146</v>
      </c>
      <c r="B29" s="20">
        <v>202</v>
      </c>
      <c r="C29" s="20">
        <v>133</v>
      </c>
      <c r="D29" s="20">
        <v>7</v>
      </c>
      <c r="E29" s="20">
        <v>5</v>
      </c>
      <c r="F29" s="17">
        <v>8.9</v>
      </c>
      <c r="G29" s="17"/>
      <c r="H29" s="17">
        <v>2870</v>
      </c>
      <c r="I29" s="37">
        <v>2802</v>
      </c>
      <c r="J29" s="20">
        <v>21000000</v>
      </c>
      <c r="K29" s="20">
        <v>208000</v>
      </c>
      <c r="L29" s="20">
        <v>231000</v>
      </c>
      <c r="M29" s="20">
        <v>85.5</v>
      </c>
      <c r="N29" s="20">
        <v>2750000</v>
      </c>
      <c r="O29" s="20">
        <v>41300</v>
      </c>
      <c r="P29" s="20">
        <v>63400</v>
      </c>
      <c r="Q29" s="20">
        <v>31</v>
      </c>
      <c r="R29" s="20">
        <v>45000</v>
      </c>
      <c r="S29" s="46">
        <v>26000000000</v>
      </c>
      <c r="T29" s="38"/>
      <c r="U29" s="38"/>
      <c r="V29" s="37">
        <v>188</v>
      </c>
      <c r="W29" s="37">
        <v>64</v>
      </c>
      <c r="X29" s="38">
        <v>1</v>
      </c>
      <c r="Y29" s="38">
        <v>320</v>
      </c>
      <c r="Z29" s="38">
        <v>320</v>
      </c>
      <c r="AA29" s="18">
        <v>1</v>
      </c>
      <c r="AB29" s="39">
        <v>1</v>
      </c>
      <c r="AC29" s="38">
        <v>45</v>
      </c>
      <c r="AD29" s="38">
        <v>16</v>
      </c>
      <c r="AE29" s="40">
        <v>42.539543956182698</v>
      </c>
      <c r="AF29" s="40">
        <v>10.343962056214638</v>
      </c>
      <c r="AG29" s="37">
        <v>188</v>
      </c>
      <c r="AH29" s="40">
        <v>64</v>
      </c>
      <c r="AI29" s="38">
        <v>2802</v>
      </c>
      <c r="AJ29" s="38"/>
    </row>
    <row r="30" spans="1:36">
      <c r="A30" s="15" t="s">
        <v>145</v>
      </c>
      <c r="B30" s="20">
        <v>198</v>
      </c>
      <c r="C30" s="20">
        <v>99</v>
      </c>
      <c r="D30" s="20">
        <v>7</v>
      </c>
      <c r="E30" s="20">
        <v>4.5</v>
      </c>
      <c r="F30" s="17">
        <v>11</v>
      </c>
      <c r="G30" s="17"/>
      <c r="H30" s="17">
        <v>2320</v>
      </c>
      <c r="I30" s="37">
        <v>2214</v>
      </c>
      <c r="J30" s="20">
        <v>15800000</v>
      </c>
      <c r="K30" s="20">
        <v>160000</v>
      </c>
      <c r="L30" s="20">
        <v>180000</v>
      </c>
      <c r="M30" s="20">
        <v>82.6</v>
      </c>
      <c r="N30" s="20">
        <v>1140000</v>
      </c>
      <c r="O30" s="20">
        <v>23000</v>
      </c>
      <c r="P30" s="20">
        <v>35700</v>
      </c>
      <c r="Q30" s="20">
        <v>22.1</v>
      </c>
      <c r="R30" s="20">
        <v>38600</v>
      </c>
      <c r="S30" s="46">
        <v>10400000000</v>
      </c>
      <c r="T30" s="38"/>
      <c r="U30" s="38"/>
      <c r="V30" s="37">
        <v>184</v>
      </c>
      <c r="W30" s="37">
        <v>47.25</v>
      </c>
      <c r="X30" s="38">
        <v>1</v>
      </c>
      <c r="Y30" s="38">
        <v>320</v>
      </c>
      <c r="Z30" s="38">
        <v>320</v>
      </c>
      <c r="AA30" s="18">
        <v>0.99</v>
      </c>
      <c r="AB30" s="39">
        <v>0.99</v>
      </c>
      <c r="AC30" s="38">
        <v>45</v>
      </c>
      <c r="AD30" s="38">
        <v>16</v>
      </c>
      <c r="AE30" s="40">
        <v>46.260496973626573</v>
      </c>
      <c r="AF30" s="40">
        <v>7.6367532368147133</v>
      </c>
      <c r="AG30" s="37">
        <v>178.98640398784485</v>
      </c>
      <c r="AH30" s="40">
        <v>47.25</v>
      </c>
      <c r="AI30" s="38">
        <v>2191.4388179453017</v>
      </c>
      <c r="AJ30" s="38"/>
    </row>
    <row r="31" spans="1:36">
      <c r="A31" s="15" t="s">
        <v>139</v>
      </c>
      <c r="B31" s="20">
        <v>179</v>
      </c>
      <c r="C31" s="20">
        <v>90</v>
      </c>
      <c r="D31" s="20">
        <v>10</v>
      </c>
      <c r="E31" s="20">
        <v>6</v>
      </c>
      <c r="F31" s="17">
        <v>8.9</v>
      </c>
      <c r="G31" s="17"/>
      <c r="H31" s="17">
        <v>2820</v>
      </c>
      <c r="I31" s="37">
        <v>2754</v>
      </c>
      <c r="J31" s="20">
        <v>15300000</v>
      </c>
      <c r="K31" s="20">
        <v>171000</v>
      </c>
      <c r="L31" s="20">
        <v>195000</v>
      </c>
      <c r="M31" s="20">
        <v>73.599999999999994</v>
      </c>
      <c r="N31" s="20">
        <v>1220000</v>
      </c>
      <c r="O31" s="20">
        <v>27100</v>
      </c>
      <c r="P31" s="20">
        <v>42300</v>
      </c>
      <c r="Q31" s="20">
        <v>20.8</v>
      </c>
      <c r="R31" s="20">
        <v>81600</v>
      </c>
      <c r="S31" s="46">
        <v>8710000000</v>
      </c>
      <c r="T31" s="38"/>
      <c r="U31" s="38"/>
      <c r="V31" s="37">
        <v>159</v>
      </c>
      <c r="W31" s="37">
        <v>42</v>
      </c>
      <c r="X31" s="38">
        <v>1</v>
      </c>
      <c r="Y31" s="38">
        <v>320</v>
      </c>
      <c r="Z31" s="38">
        <v>320</v>
      </c>
      <c r="AA31" s="18">
        <v>1</v>
      </c>
      <c r="AB31" s="39">
        <v>1</v>
      </c>
      <c r="AC31" s="38">
        <v>45</v>
      </c>
      <c r="AD31" s="38">
        <v>16</v>
      </c>
      <c r="AE31" s="40">
        <v>29.981327522309616</v>
      </c>
      <c r="AF31" s="40">
        <v>4.7517575695735994</v>
      </c>
      <c r="AG31" s="37">
        <v>159</v>
      </c>
      <c r="AH31" s="40">
        <v>42</v>
      </c>
      <c r="AI31" s="38">
        <v>2754</v>
      </c>
      <c r="AJ31" s="38"/>
    </row>
    <row r="32" spans="1:36">
      <c r="A32" s="17" t="s">
        <v>144</v>
      </c>
      <c r="B32" s="17">
        <v>175</v>
      </c>
      <c r="C32" s="17">
        <v>90</v>
      </c>
      <c r="D32" s="17">
        <v>8</v>
      </c>
      <c r="E32" s="17">
        <v>5</v>
      </c>
      <c r="F32" s="17">
        <v>8.9</v>
      </c>
      <c r="G32" s="17"/>
      <c r="H32" s="17">
        <v>2300</v>
      </c>
      <c r="I32" s="37">
        <v>2235</v>
      </c>
      <c r="J32" s="17">
        <v>12100000</v>
      </c>
      <c r="K32" s="17">
        <v>139000</v>
      </c>
      <c r="L32" s="17">
        <v>157000</v>
      </c>
      <c r="M32" s="20">
        <v>72.599999999999994</v>
      </c>
      <c r="N32" s="20">
        <v>975000</v>
      </c>
      <c r="O32" s="20">
        <v>21700</v>
      </c>
      <c r="P32" s="20">
        <v>33700</v>
      </c>
      <c r="Q32" s="20">
        <v>20.6</v>
      </c>
      <c r="R32" s="20">
        <v>44800</v>
      </c>
      <c r="S32" s="46">
        <v>6800000000</v>
      </c>
      <c r="T32" s="38"/>
      <c r="U32" s="38"/>
      <c r="V32" s="37">
        <v>159</v>
      </c>
      <c r="W32" s="37">
        <v>42.5</v>
      </c>
      <c r="X32" s="38">
        <v>1</v>
      </c>
      <c r="Y32" s="38">
        <v>320</v>
      </c>
      <c r="Z32" s="38">
        <v>320</v>
      </c>
      <c r="AA32" s="18">
        <v>1</v>
      </c>
      <c r="AB32" s="39">
        <v>1</v>
      </c>
      <c r="AC32" s="38">
        <v>45</v>
      </c>
      <c r="AD32" s="38">
        <v>16</v>
      </c>
      <c r="AE32" s="40">
        <v>35.977593026771537</v>
      </c>
      <c r="AF32" s="40">
        <v>6.0104076400856536</v>
      </c>
      <c r="AG32" s="37">
        <v>159</v>
      </c>
      <c r="AH32" s="40">
        <v>42.5</v>
      </c>
      <c r="AI32" s="38">
        <v>2235</v>
      </c>
      <c r="AJ32" s="38"/>
    </row>
    <row r="33" spans="1:36">
      <c r="A33" s="17" t="s">
        <v>143</v>
      </c>
      <c r="B33" s="17">
        <v>173</v>
      </c>
      <c r="C33" s="17">
        <v>90</v>
      </c>
      <c r="D33" s="17">
        <v>7</v>
      </c>
      <c r="E33" s="17">
        <v>4.5</v>
      </c>
      <c r="F33" s="17">
        <v>8.9</v>
      </c>
      <c r="G33" s="17"/>
      <c r="H33" s="17">
        <v>2040</v>
      </c>
      <c r="I33" s="37">
        <v>1975.5</v>
      </c>
      <c r="J33" s="17">
        <v>10600000</v>
      </c>
      <c r="K33" s="17">
        <v>123000</v>
      </c>
      <c r="L33" s="17">
        <v>138000</v>
      </c>
      <c r="M33" s="20">
        <v>72</v>
      </c>
      <c r="N33" s="20">
        <v>853000</v>
      </c>
      <c r="O33" s="20">
        <v>19000</v>
      </c>
      <c r="P33" s="20">
        <v>29400</v>
      </c>
      <c r="Q33" s="20">
        <v>20.399999999999999</v>
      </c>
      <c r="R33" s="20">
        <v>31500</v>
      </c>
      <c r="S33" s="46">
        <v>5880000000</v>
      </c>
      <c r="T33" s="38"/>
      <c r="U33" s="38"/>
      <c r="V33" s="37">
        <v>159</v>
      </c>
      <c r="W33" s="37">
        <v>42.75</v>
      </c>
      <c r="X33" s="38">
        <v>1</v>
      </c>
      <c r="Y33" s="38">
        <v>320</v>
      </c>
      <c r="Z33" s="38">
        <v>320</v>
      </c>
      <c r="AA33" s="18">
        <v>1</v>
      </c>
      <c r="AB33" s="39">
        <v>1</v>
      </c>
      <c r="AC33" s="38">
        <v>45</v>
      </c>
      <c r="AD33" s="38">
        <v>16</v>
      </c>
      <c r="AE33" s="40">
        <v>39.975103363079491</v>
      </c>
      <c r="AF33" s="40">
        <v>6.9094434047371207</v>
      </c>
      <c r="AG33" s="37">
        <v>159</v>
      </c>
      <c r="AH33" s="40">
        <v>42.75</v>
      </c>
      <c r="AI33" s="38">
        <v>1975.5</v>
      </c>
      <c r="AJ33" s="38"/>
    </row>
    <row r="34" spans="1:36">
      <c r="A34" s="20" t="s">
        <v>142</v>
      </c>
      <c r="B34" s="20">
        <v>155</v>
      </c>
      <c r="C34" s="20">
        <v>75</v>
      </c>
      <c r="D34" s="20">
        <v>9.5</v>
      </c>
      <c r="E34" s="20">
        <v>6</v>
      </c>
      <c r="F34" s="17">
        <v>8</v>
      </c>
      <c r="G34" s="17"/>
      <c r="H34" s="17">
        <v>2300</v>
      </c>
      <c r="I34" s="37">
        <v>2241</v>
      </c>
      <c r="J34" s="20">
        <v>9050000</v>
      </c>
      <c r="K34" s="20">
        <v>117000</v>
      </c>
      <c r="L34" s="20">
        <v>135000</v>
      </c>
      <c r="M34" s="20">
        <v>62.8</v>
      </c>
      <c r="N34" s="20">
        <v>672000</v>
      </c>
      <c r="O34" s="20">
        <v>17900</v>
      </c>
      <c r="P34" s="20">
        <v>28200</v>
      </c>
      <c r="Q34" s="20">
        <v>17.100000000000001</v>
      </c>
      <c r="R34" s="20">
        <v>60500</v>
      </c>
      <c r="S34" s="46">
        <v>3560000000</v>
      </c>
      <c r="T34" s="38"/>
      <c r="U34" s="38"/>
      <c r="V34" s="37">
        <v>136</v>
      </c>
      <c r="W34" s="37">
        <v>34.5</v>
      </c>
      <c r="X34" s="38">
        <v>1</v>
      </c>
      <c r="Y34" s="38">
        <v>320</v>
      </c>
      <c r="Z34" s="38">
        <v>320</v>
      </c>
      <c r="AA34" s="18">
        <v>1</v>
      </c>
      <c r="AB34" s="39">
        <v>1</v>
      </c>
      <c r="AC34" s="38">
        <v>45</v>
      </c>
      <c r="AD34" s="38">
        <v>16</v>
      </c>
      <c r="AE34" s="40">
        <v>25.644405931032125</v>
      </c>
      <c r="AF34" s="40">
        <v>4.1086625601576241</v>
      </c>
      <c r="AG34" s="37">
        <v>136</v>
      </c>
      <c r="AH34" s="40">
        <v>34.5</v>
      </c>
      <c r="AI34" s="38">
        <v>2241</v>
      </c>
      <c r="AJ34" s="38"/>
    </row>
    <row r="35" spans="1:36">
      <c r="A35" s="17" t="s">
        <v>141</v>
      </c>
      <c r="B35" s="20">
        <v>150</v>
      </c>
      <c r="C35" s="20">
        <v>75</v>
      </c>
      <c r="D35" s="20">
        <v>7</v>
      </c>
      <c r="E35" s="20">
        <v>5</v>
      </c>
      <c r="F35" s="17">
        <v>8</v>
      </c>
      <c r="G35" s="17"/>
      <c r="H35" s="17">
        <v>1780</v>
      </c>
      <c r="I35" s="37">
        <v>1730</v>
      </c>
      <c r="J35" s="20">
        <v>6660000</v>
      </c>
      <c r="K35" s="20">
        <v>88800</v>
      </c>
      <c r="L35" s="20">
        <v>102000</v>
      </c>
      <c r="M35" s="20">
        <v>61.1</v>
      </c>
      <c r="N35" s="20">
        <v>495000</v>
      </c>
      <c r="O35" s="20">
        <v>13200</v>
      </c>
      <c r="P35" s="20">
        <v>20800</v>
      </c>
      <c r="Q35" s="20">
        <v>16.600000000000001</v>
      </c>
      <c r="R35" s="20">
        <v>28100</v>
      </c>
      <c r="S35" s="46">
        <v>2530000000</v>
      </c>
      <c r="T35" s="38"/>
      <c r="U35" s="38"/>
      <c r="V35" s="37">
        <v>136</v>
      </c>
      <c r="W35" s="37">
        <v>35</v>
      </c>
      <c r="X35" s="38">
        <v>1</v>
      </c>
      <c r="Y35" s="38">
        <v>320</v>
      </c>
      <c r="Z35" s="38">
        <v>320</v>
      </c>
      <c r="AA35" s="18">
        <v>1</v>
      </c>
      <c r="AB35" s="39">
        <v>1</v>
      </c>
      <c r="AC35" s="38"/>
      <c r="AD35" s="38"/>
      <c r="AE35" s="40"/>
      <c r="AF35" s="40"/>
      <c r="AG35" s="37"/>
      <c r="AH35" s="40"/>
      <c r="AI35" s="38"/>
      <c r="AJ35" s="38"/>
    </row>
    <row r="36" spans="1:36">
      <c r="A36" s="17" t="s">
        <v>140</v>
      </c>
      <c r="B36" s="20">
        <v>100</v>
      </c>
      <c r="C36" s="20">
        <v>10</v>
      </c>
      <c r="D36" s="20">
        <v>10</v>
      </c>
      <c r="E36" s="20">
        <v>10</v>
      </c>
      <c r="G36" s="17"/>
      <c r="H36" s="17"/>
      <c r="I36" s="37">
        <v>1000</v>
      </c>
      <c r="J36" s="46">
        <v>833333.33333333337</v>
      </c>
      <c r="K36" s="46">
        <v>16666.666666666668</v>
      </c>
      <c r="L36" s="46">
        <v>3600</v>
      </c>
      <c r="M36" s="46">
        <v>8.3333333333333339</v>
      </c>
      <c r="N36" s="46">
        <v>8333.3333333333339</v>
      </c>
      <c r="O36" s="46">
        <v>1666.6666666666667</v>
      </c>
      <c r="P36" s="46">
        <v>20250</v>
      </c>
      <c r="Q36" s="46">
        <v>0.83333333333333337</v>
      </c>
      <c r="S36" s="46"/>
      <c r="T36" s="38"/>
      <c r="U36" s="38"/>
      <c r="V36" s="37">
        <v>80</v>
      </c>
      <c r="W36" s="37">
        <v>0</v>
      </c>
      <c r="X36" s="38">
        <v>1</v>
      </c>
      <c r="Y36" s="38">
        <v>320</v>
      </c>
      <c r="Z36" s="38">
        <v>320</v>
      </c>
      <c r="AA36" s="18">
        <v>1</v>
      </c>
      <c r="AB36" s="39">
        <v>1</v>
      </c>
      <c r="AC36" s="38">
        <v>45</v>
      </c>
      <c r="AD36" s="38">
        <v>16</v>
      </c>
      <c r="AE36" s="40">
        <v>9.0509667991878082</v>
      </c>
      <c r="AF36" s="40">
        <v>0</v>
      </c>
      <c r="AG36" s="37">
        <v>80</v>
      </c>
      <c r="AH36" s="40" t="e">
        <v>#DIV/0!</v>
      </c>
      <c r="AI36" s="38" t="e">
        <v>#DIV/0!</v>
      </c>
      <c r="AJ36" s="38"/>
    </row>
    <row r="37" spans="1:36">
      <c r="A37" s="16"/>
      <c r="S37" s="46"/>
    </row>
    <row r="38" spans="1:36">
      <c r="S38" s="46"/>
    </row>
    <row r="39" spans="1:36">
      <c r="A39" s="16"/>
      <c r="S39" s="46"/>
    </row>
    <row r="40" spans="1:36">
      <c r="A40" s="16"/>
      <c r="S40" s="46"/>
    </row>
    <row r="41" spans="1:36">
      <c r="B41" s="15"/>
      <c r="S41" s="46"/>
    </row>
    <row r="42" spans="1:36">
      <c r="A42" s="19"/>
      <c r="S42" s="46"/>
    </row>
    <row r="43" spans="1:36">
      <c r="A43" s="19"/>
      <c r="S43" s="46"/>
    </row>
    <row r="44" spans="1:36">
      <c r="A44" s="19"/>
      <c r="S44" s="46"/>
    </row>
    <row r="45" spans="1:36">
      <c r="A45" s="19"/>
      <c r="S45" s="46"/>
    </row>
    <row r="46" spans="1:36">
      <c r="A46" s="19"/>
      <c r="S46" s="46"/>
    </row>
    <row r="47" spans="1:36">
      <c r="A47" s="19"/>
      <c r="S47" s="46"/>
    </row>
    <row r="48" spans="1:36">
      <c r="A48" s="19"/>
      <c r="S48" s="46"/>
    </row>
    <row r="49" spans="1:19">
      <c r="S49" s="46"/>
    </row>
    <row r="50" spans="1:19">
      <c r="A50" s="16"/>
      <c r="S50" s="46"/>
    </row>
    <row r="51" spans="1:19">
      <c r="A51" s="16"/>
    </row>
    <row r="52" spans="1:19">
      <c r="A52" s="16"/>
    </row>
    <row r="53" spans="1:19">
      <c r="A53" s="16"/>
    </row>
  </sheetData>
  <mergeCells count="2">
    <mergeCell ref="J3:M4"/>
    <mergeCell ref="N4:Q4"/>
  </mergeCells>
  <conditionalFormatting sqref="AH8:AH36">
    <cfRule type="cellIs" dxfId="5" priority="2" operator="lessThan">
      <formula>W8</formula>
    </cfRule>
  </conditionalFormatting>
  <conditionalFormatting sqref="AG8:AG36">
    <cfRule type="cellIs" dxfId="4" priority="1" operator="lessThan">
      <formula>V8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98CB-4433-48A0-AF22-013BAE56ADCD}">
  <sheetPr codeName="Sheet6"/>
  <dimension ref="A1:X20"/>
  <sheetViews>
    <sheetView workbookViewId="0">
      <selection sqref="A1:XFD1048576"/>
    </sheetView>
  </sheetViews>
  <sheetFormatPr defaultColWidth="8.88671875" defaultRowHeight="14.4"/>
  <cols>
    <col min="1" max="7" width="8.88671875" style="20"/>
    <col min="8" max="8" width="10" style="20" bestFit="1" customWidth="1"/>
    <col min="9" max="11" width="8.88671875" style="20"/>
    <col min="12" max="12" width="10" style="20" bestFit="1" customWidth="1"/>
    <col min="13" max="16" width="8.88671875" style="20"/>
    <col min="17" max="17" width="12" style="20" bestFit="1" customWidth="1"/>
    <col min="18" max="16384" width="8.88671875" style="20"/>
  </cols>
  <sheetData>
    <row r="1" spans="1:24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</row>
    <row r="2" spans="1:24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3"/>
    </row>
    <row r="3" spans="1:24">
      <c r="A3" s="24" t="s">
        <v>7</v>
      </c>
      <c r="B3" s="24"/>
      <c r="C3" s="24"/>
      <c r="D3" s="24"/>
      <c r="E3" s="24"/>
      <c r="F3" s="24"/>
      <c r="G3" s="25" t="s">
        <v>195</v>
      </c>
      <c r="H3" s="25"/>
      <c r="I3" s="25"/>
      <c r="J3" s="25"/>
      <c r="K3" s="25"/>
      <c r="L3" s="26"/>
      <c r="M3" s="25"/>
      <c r="N3" s="25"/>
      <c r="O3" s="25"/>
      <c r="P3" s="25" t="s">
        <v>194</v>
      </c>
      <c r="Q3" s="27" t="s">
        <v>193</v>
      </c>
    </row>
    <row r="4" spans="1:24">
      <c r="A4" s="28"/>
      <c r="B4" s="28"/>
      <c r="C4" s="28"/>
      <c r="D4" s="28"/>
      <c r="E4" s="28"/>
      <c r="F4" s="28"/>
      <c r="G4" s="67" t="s">
        <v>192</v>
      </c>
      <c r="H4" s="119" t="s">
        <v>16</v>
      </c>
      <c r="I4" s="119"/>
      <c r="J4" s="119"/>
      <c r="K4" s="119"/>
      <c r="L4" s="119" t="s">
        <v>19</v>
      </c>
      <c r="M4" s="119"/>
      <c r="N4" s="119"/>
      <c r="O4" s="119"/>
      <c r="P4" s="67" t="s">
        <v>191</v>
      </c>
      <c r="Q4" s="29" t="s">
        <v>191</v>
      </c>
    </row>
    <row r="5" spans="1:24">
      <c r="A5" s="28"/>
      <c r="B5" s="28"/>
      <c r="C5" s="28"/>
      <c r="D5" s="28"/>
      <c r="E5" s="28"/>
      <c r="F5" s="28"/>
      <c r="G5" s="67" t="s">
        <v>190</v>
      </c>
      <c r="H5" s="67"/>
      <c r="I5" s="67"/>
      <c r="J5" s="67"/>
      <c r="K5" s="67"/>
      <c r="L5" s="67"/>
      <c r="M5" s="67"/>
      <c r="N5" s="67"/>
      <c r="O5" s="67"/>
      <c r="P5" s="67"/>
      <c r="Q5" s="29"/>
      <c r="R5" s="115" t="s">
        <v>189</v>
      </c>
      <c r="S5" s="116"/>
      <c r="T5" s="116"/>
      <c r="U5" s="116"/>
      <c r="V5" s="116"/>
    </row>
    <row r="6" spans="1:24">
      <c r="A6" s="30" t="s">
        <v>118</v>
      </c>
      <c r="B6" s="31" t="s">
        <v>9</v>
      </c>
      <c r="C6" s="31" t="s">
        <v>10</v>
      </c>
      <c r="D6" s="31" t="s">
        <v>12</v>
      </c>
      <c r="E6" s="31" t="s">
        <v>13</v>
      </c>
      <c r="F6" s="31" t="s">
        <v>188</v>
      </c>
      <c r="G6" s="32" t="s">
        <v>120</v>
      </c>
      <c r="H6" s="32" t="s">
        <v>121</v>
      </c>
      <c r="I6" s="32" t="s">
        <v>122</v>
      </c>
      <c r="J6" s="32" t="s">
        <v>123</v>
      </c>
      <c r="K6" s="32" t="s">
        <v>124</v>
      </c>
      <c r="L6" s="32" t="s">
        <v>125</v>
      </c>
      <c r="M6" s="32" t="s">
        <v>127</v>
      </c>
      <c r="N6" s="32" t="s">
        <v>128</v>
      </c>
      <c r="O6" s="32" t="s">
        <v>129</v>
      </c>
      <c r="P6" s="32" t="s">
        <v>17</v>
      </c>
      <c r="Q6" s="41" t="s">
        <v>18</v>
      </c>
      <c r="R6" s="69"/>
      <c r="S6" s="66" t="s">
        <v>15</v>
      </c>
      <c r="T6" s="66" t="s">
        <v>131</v>
      </c>
      <c r="U6" s="66"/>
      <c r="V6" s="68" t="s">
        <v>130</v>
      </c>
      <c r="W6" s="75" t="s">
        <v>369</v>
      </c>
      <c r="X6" s="75" t="s">
        <v>370</v>
      </c>
    </row>
    <row r="7" spans="1:24">
      <c r="A7" s="35" t="s">
        <v>132</v>
      </c>
      <c r="B7" s="35" t="s">
        <v>133</v>
      </c>
      <c r="C7" s="35" t="s">
        <v>133</v>
      </c>
      <c r="D7" s="35" t="s">
        <v>133</v>
      </c>
      <c r="E7" s="35"/>
      <c r="F7" s="35"/>
      <c r="G7" s="65" t="s">
        <v>134</v>
      </c>
      <c r="H7" s="65"/>
      <c r="I7" s="65"/>
      <c r="J7" s="65"/>
      <c r="K7" s="65" t="s">
        <v>133</v>
      </c>
      <c r="L7" s="65"/>
      <c r="M7" s="65"/>
      <c r="N7" s="65"/>
      <c r="O7" s="65" t="s">
        <v>133</v>
      </c>
      <c r="P7" s="65" t="s">
        <v>172</v>
      </c>
      <c r="Q7" s="42" t="s">
        <v>171</v>
      </c>
    </row>
    <row r="8" spans="1:24">
      <c r="A8" s="20" t="s">
        <v>208</v>
      </c>
      <c r="B8" s="20">
        <v>327</v>
      </c>
      <c r="C8" s="20">
        <v>311</v>
      </c>
      <c r="D8" s="20">
        <v>25</v>
      </c>
      <c r="E8" s="20">
        <v>15.7</v>
      </c>
      <c r="G8" s="20">
        <v>20100</v>
      </c>
      <c r="H8" s="20">
        <v>388000000</v>
      </c>
      <c r="I8" s="20">
        <v>2370000</v>
      </c>
      <c r="J8" s="20">
        <v>2680000</v>
      </c>
      <c r="K8" s="20">
        <v>139</v>
      </c>
      <c r="L8" s="20">
        <v>125000000</v>
      </c>
      <c r="M8" s="20">
        <v>807000</v>
      </c>
      <c r="N8" s="20">
        <v>1230000</v>
      </c>
      <c r="O8" s="20">
        <v>78.900000000000006</v>
      </c>
      <c r="P8" s="20">
        <v>3810000</v>
      </c>
      <c r="Q8" s="20">
        <v>2860000000000</v>
      </c>
      <c r="S8" s="20">
        <v>277</v>
      </c>
      <c r="T8" s="20">
        <v>1</v>
      </c>
      <c r="V8" s="20">
        <v>1</v>
      </c>
      <c r="W8" s="20">
        <v>280</v>
      </c>
      <c r="X8" s="20">
        <v>300</v>
      </c>
    </row>
    <row r="9" spans="1:24">
      <c r="A9" s="20" t="s">
        <v>207</v>
      </c>
      <c r="B9" s="20">
        <v>321</v>
      </c>
      <c r="C9" s="20">
        <v>309</v>
      </c>
      <c r="D9" s="20">
        <v>21.7</v>
      </c>
      <c r="E9" s="20">
        <v>13.8</v>
      </c>
      <c r="G9" s="20">
        <v>17500</v>
      </c>
      <c r="H9" s="20">
        <v>329000000</v>
      </c>
      <c r="I9" s="20">
        <v>2050000</v>
      </c>
      <c r="J9" s="20">
        <v>2300000</v>
      </c>
      <c r="K9" s="20">
        <v>137</v>
      </c>
      <c r="L9" s="20">
        <v>107000000</v>
      </c>
      <c r="M9" s="20">
        <v>691000</v>
      </c>
      <c r="N9" s="20">
        <v>1050000</v>
      </c>
      <c r="O9" s="20">
        <v>78.2</v>
      </c>
      <c r="P9" s="20">
        <v>2520000</v>
      </c>
      <c r="Q9" s="20">
        <v>2390000000000</v>
      </c>
      <c r="S9" s="20">
        <v>277.60000000000002</v>
      </c>
      <c r="T9" s="20">
        <v>1</v>
      </c>
      <c r="V9" s="20">
        <v>1</v>
      </c>
      <c r="W9" s="20">
        <v>280</v>
      </c>
      <c r="X9" s="20">
        <v>300</v>
      </c>
    </row>
    <row r="10" spans="1:24">
      <c r="A10" s="20" t="s">
        <v>206</v>
      </c>
      <c r="B10" s="20">
        <v>315</v>
      </c>
      <c r="C10" s="20">
        <v>307</v>
      </c>
      <c r="D10" s="20">
        <v>18.7</v>
      </c>
      <c r="E10" s="20">
        <v>11.9</v>
      </c>
      <c r="G10" s="20">
        <v>15000</v>
      </c>
      <c r="H10" s="20">
        <v>277000000</v>
      </c>
      <c r="I10" s="20">
        <v>1760000</v>
      </c>
      <c r="J10" s="20">
        <v>1960000</v>
      </c>
      <c r="K10" s="20">
        <v>136</v>
      </c>
      <c r="L10" s="20">
        <v>90200000</v>
      </c>
      <c r="M10" s="20">
        <v>588000</v>
      </c>
      <c r="N10" s="20">
        <v>893000</v>
      </c>
      <c r="O10" s="20">
        <v>77.5</v>
      </c>
      <c r="P10" s="20">
        <v>1630000</v>
      </c>
      <c r="Q10" s="20">
        <v>1980000000000</v>
      </c>
      <c r="S10" s="20">
        <v>277.60000000000002</v>
      </c>
      <c r="T10" s="20">
        <v>1</v>
      </c>
      <c r="V10" s="20">
        <v>1</v>
      </c>
      <c r="W10" s="20">
        <v>280</v>
      </c>
      <c r="X10" s="20">
        <v>300</v>
      </c>
    </row>
    <row r="11" spans="1:24">
      <c r="A11" s="20" t="s">
        <v>205</v>
      </c>
      <c r="B11" s="20">
        <v>308</v>
      </c>
      <c r="C11" s="20">
        <v>305</v>
      </c>
      <c r="D11" s="20">
        <v>15.4</v>
      </c>
      <c r="E11" s="20">
        <v>9.9</v>
      </c>
      <c r="G11" s="20">
        <v>12400</v>
      </c>
      <c r="H11" s="20">
        <v>223000000</v>
      </c>
      <c r="I11" s="20">
        <v>1450000</v>
      </c>
      <c r="J11" s="20">
        <v>1600000</v>
      </c>
      <c r="K11" s="20">
        <v>134</v>
      </c>
      <c r="L11" s="20">
        <v>72900000</v>
      </c>
      <c r="M11" s="20">
        <v>478000</v>
      </c>
      <c r="N11" s="20">
        <v>725000</v>
      </c>
      <c r="O11" s="20">
        <v>76.7</v>
      </c>
      <c r="P11" s="20">
        <v>928000</v>
      </c>
      <c r="Q11" s="20">
        <v>1560000000000</v>
      </c>
      <c r="S11" s="20">
        <v>277.2</v>
      </c>
      <c r="T11" s="20">
        <v>1</v>
      </c>
      <c r="V11" s="20">
        <v>1</v>
      </c>
      <c r="W11" s="20">
        <v>300</v>
      </c>
      <c r="X11" s="20">
        <v>320</v>
      </c>
    </row>
    <row r="12" spans="1:24">
      <c r="A12" s="20" t="s">
        <v>204</v>
      </c>
      <c r="B12" s="20">
        <v>260</v>
      </c>
      <c r="C12" s="20">
        <v>256</v>
      </c>
      <c r="D12" s="20">
        <v>17.3</v>
      </c>
      <c r="E12" s="20">
        <v>10.5</v>
      </c>
      <c r="G12" s="20">
        <v>11400</v>
      </c>
      <c r="H12" s="20">
        <v>143000000</v>
      </c>
      <c r="I12" s="20">
        <v>1100000</v>
      </c>
      <c r="J12" s="20">
        <v>1230000</v>
      </c>
      <c r="K12" s="20">
        <v>112</v>
      </c>
      <c r="L12" s="20">
        <v>48400000</v>
      </c>
      <c r="M12" s="20">
        <v>378000</v>
      </c>
      <c r="N12" s="20">
        <v>575000</v>
      </c>
      <c r="O12" s="20">
        <v>65.2</v>
      </c>
      <c r="P12" s="20">
        <v>1040000</v>
      </c>
      <c r="Q12" s="20">
        <v>713000000000</v>
      </c>
      <c r="S12" s="20">
        <v>225.4</v>
      </c>
      <c r="T12" s="20">
        <v>1</v>
      </c>
      <c r="V12" s="20">
        <v>1</v>
      </c>
      <c r="W12" s="20">
        <v>280</v>
      </c>
      <c r="X12" s="20">
        <v>320</v>
      </c>
    </row>
    <row r="13" spans="1:24">
      <c r="A13" s="20" t="s">
        <v>203</v>
      </c>
      <c r="B13" s="20">
        <v>254</v>
      </c>
      <c r="C13" s="20">
        <v>254</v>
      </c>
      <c r="D13" s="20">
        <v>14.2</v>
      </c>
      <c r="E13" s="20">
        <v>8.6</v>
      </c>
      <c r="G13" s="20">
        <v>9320</v>
      </c>
      <c r="H13" s="20">
        <v>114000000</v>
      </c>
      <c r="I13" s="20">
        <v>897000</v>
      </c>
      <c r="J13" s="20">
        <v>992000</v>
      </c>
      <c r="K13" s="20">
        <v>111</v>
      </c>
      <c r="L13" s="20">
        <v>38800000</v>
      </c>
      <c r="M13" s="20">
        <v>306000</v>
      </c>
      <c r="N13" s="20">
        <v>463000</v>
      </c>
      <c r="O13" s="20">
        <v>64.5</v>
      </c>
      <c r="P13" s="20">
        <v>586000</v>
      </c>
      <c r="Q13" s="20">
        <v>557000000000</v>
      </c>
      <c r="S13" s="20">
        <v>225.6</v>
      </c>
      <c r="T13" s="20">
        <v>1</v>
      </c>
      <c r="V13" s="20">
        <v>1</v>
      </c>
      <c r="W13" s="20">
        <v>300</v>
      </c>
      <c r="X13" s="20">
        <v>320</v>
      </c>
    </row>
    <row r="14" spans="1:24">
      <c r="A14" s="20" t="s">
        <v>202</v>
      </c>
      <c r="B14" s="20">
        <v>210</v>
      </c>
      <c r="C14" s="20">
        <v>205</v>
      </c>
      <c r="D14" s="20">
        <v>14.2</v>
      </c>
      <c r="E14" s="20">
        <v>9.3000000000000007</v>
      </c>
      <c r="G14" s="20">
        <v>7620</v>
      </c>
      <c r="H14" s="20">
        <v>61300000</v>
      </c>
      <c r="I14" s="20">
        <v>584000</v>
      </c>
      <c r="J14" s="20">
        <v>656000</v>
      </c>
      <c r="K14" s="20">
        <v>89.7</v>
      </c>
      <c r="L14" s="20">
        <v>20400000</v>
      </c>
      <c r="M14" s="20">
        <v>199000</v>
      </c>
      <c r="N14" s="20">
        <v>303000</v>
      </c>
      <c r="O14" s="20">
        <v>51.7</v>
      </c>
      <c r="P14" s="20">
        <v>477000</v>
      </c>
      <c r="Q14" s="20">
        <v>195000000000</v>
      </c>
      <c r="S14" s="20">
        <v>181.6</v>
      </c>
      <c r="T14" s="20">
        <v>1</v>
      </c>
      <c r="V14" s="20">
        <v>1</v>
      </c>
      <c r="W14" s="20">
        <v>300</v>
      </c>
      <c r="X14" s="20">
        <v>320</v>
      </c>
    </row>
    <row r="15" spans="1:24">
      <c r="A15" s="20" t="s">
        <v>201</v>
      </c>
      <c r="B15" s="20">
        <v>206</v>
      </c>
      <c r="C15" s="20">
        <v>204</v>
      </c>
      <c r="D15" s="20">
        <v>12.5</v>
      </c>
      <c r="E15" s="20">
        <v>8</v>
      </c>
      <c r="G15" s="20">
        <v>6660</v>
      </c>
      <c r="H15" s="20">
        <v>52800000</v>
      </c>
      <c r="I15" s="20">
        <v>512000</v>
      </c>
      <c r="J15" s="20">
        <v>570000</v>
      </c>
      <c r="K15" s="20">
        <v>89.1</v>
      </c>
      <c r="L15" s="20">
        <v>17700000</v>
      </c>
      <c r="M15" s="20">
        <v>174000</v>
      </c>
      <c r="N15" s="20">
        <v>264000</v>
      </c>
      <c r="O15" s="20">
        <v>51.5</v>
      </c>
      <c r="P15" s="20">
        <v>325000</v>
      </c>
      <c r="Q15" s="20">
        <v>166000000000</v>
      </c>
      <c r="S15" s="20">
        <v>181</v>
      </c>
      <c r="T15" s="20">
        <v>1</v>
      </c>
      <c r="V15" s="20">
        <v>1</v>
      </c>
      <c r="W15" s="20">
        <v>300</v>
      </c>
      <c r="X15" s="20">
        <v>320</v>
      </c>
    </row>
    <row r="16" spans="1:24">
      <c r="A16" s="20" t="s">
        <v>200</v>
      </c>
      <c r="B16" s="20">
        <v>203</v>
      </c>
      <c r="C16" s="20">
        <v>203</v>
      </c>
      <c r="D16" s="20">
        <v>11</v>
      </c>
      <c r="E16" s="20">
        <v>7.3</v>
      </c>
      <c r="G16" s="20">
        <v>5900</v>
      </c>
      <c r="H16" s="20">
        <v>45900000</v>
      </c>
      <c r="I16" s="20">
        <v>451000</v>
      </c>
      <c r="J16" s="20">
        <v>500000</v>
      </c>
      <c r="K16" s="20">
        <v>88.2</v>
      </c>
      <c r="L16" s="20">
        <v>15300000</v>
      </c>
      <c r="M16" s="20">
        <v>151000</v>
      </c>
      <c r="N16" s="20">
        <v>230000</v>
      </c>
      <c r="O16" s="20">
        <v>51</v>
      </c>
      <c r="P16" s="20">
        <v>228000</v>
      </c>
      <c r="Q16" s="20">
        <v>142000000000</v>
      </c>
      <c r="S16" s="20">
        <v>181</v>
      </c>
      <c r="T16" s="20">
        <v>1</v>
      </c>
      <c r="V16" s="20">
        <v>1</v>
      </c>
      <c r="W16" s="20">
        <v>300</v>
      </c>
      <c r="X16" s="20">
        <v>320</v>
      </c>
    </row>
    <row r="17" spans="1:24">
      <c r="A17" s="20" t="s">
        <v>199</v>
      </c>
      <c r="B17" s="20">
        <v>162</v>
      </c>
      <c r="C17" s="20">
        <v>154</v>
      </c>
      <c r="D17" s="20">
        <v>11.5</v>
      </c>
      <c r="E17" s="20">
        <v>8.1</v>
      </c>
      <c r="G17" s="20">
        <v>4730</v>
      </c>
      <c r="H17" s="20">
        <v>22200000</v>
      </c>
      <c r="I17" s="20">
        <v>274000</v>
      </c>
      <c r="J17" s="20">
        <v>310000</v>
      </c>
      <c r="K17" s="20">
        <v>68.400000000000006</v>
      </c>
      <c r="L17" s="20">
        <v>7010000</v>
      </c>
      <c r="M17" s="20">
        <v>91000</v>
      </c>
      <c r="N17" s="20">
        <v>139000</v>
      </c>
      <c r="O17" s="20">
        <v>38.5</v>
      </c>
      <c r="P17" s="20">
        <v>197000</v>
      </c>
      <c r="Q17" s="20">
        <v>39600000000</v>
      </c>
      <c r="S17" s="20">
        <v>139</v>
      </c>
      <c r="T17" s="20">
        <v>1</v>
      </c>
      <c r="V17" s="20">
        <v>1</v>
      </c>
      <c r="W17" s="20">
        <v>300</v>
      </c>
      <c r="X17" s="20">
        <v>320</v>
      </c>
    </row>
    <row r="18" spans="1:24">
      <c r="A18" s="20" t="s">
        <v>198</v>
      </c>
      <c r="B18" s="20">
        <v>158</v>
      </c>
      <c r="C18" s="20">
        <v>153</v>
      </c>
      <c r="D18" s="20">
        <v>9.4</v>
      </c>
      <c r="E18" s="20">
        <v>6.6</v>
      </c>
      <c r="G18" s="20">
        <v>3860</v>
      </c>
      <c r="H18" s="20">
        <v>17600000</v>
      </c>
      <c r="I18" s="20">
        <v>223000</v>
      </c>
      <c r="J18" s="20">
        <v>250000</v>
      </c>
      <c r="K18" s="20">
        <v>67.5</v>
      </c>
      <c r="L18" s="20">
        <v>5620000</v>
      </c>
      <c r="M18" s="20">
        <v>73400</v>
      </c>
      <c r="N18" s="20">
        <v>112000</v>
      </c>
      <c r="O18" s="20">
        <v>38.1</v>
      </c>
      <c r="P18" s="20">
        <v>109000</v>
      </c>
      <c r="Q18" s="20">
        <v>30800000000</v>
      </c>
      <c r="S18" s="20">
        <v>139.19999999999999</v>
      </c>
      <c r="T18" s="20">
        <v>1</v>
      </c>
      <c r="V18" s="20">
        <v>1</v>
      </c>
      <c r="W18" s="20">
        <v>320</v>
      </c>
      <c r="X18" s="20">
        <v>320</v>
      </c>
    </row>
    <row r="19" spans="1:24">
      <c r="A19" s="20" t="s">
        <v>197</v>
      </c>
      <c r="B19" s="20">
        <v>152</v>
      </c>
      <c r="C19" s="20">
        <v>152</v>
      </c>
      <c r="D19" s="20">
        <v>6.8</v>
      </c>
      <c r="E19" s="20">
        <v>6.1</v>
      </c>
      <c r="G19" s="20">
        <v>2980</v>
      </c>
      <c r="H19" s="20">
        <v>12600000</v>
      </c>
      <c r="I19" s="20">
        <v>166000</v>
      </c>
      <c r="J19" s="20">
        <v>184000</v>
      </c>
      <c r="K19" s="20">
        <v>65.099999999999994</v>
      </c>
      <c r="L19" s="20">
        <v>3980000</v>
      </c>
      <c r="M19" s="20">
        <v>52400</v>
      </c>
      <c r="N19" s="20">
        <v>80200</v>
      </c>
      <c r="O19" s="20">
        <v>36.6</v>
      </c>
      <c r="P19" s="20">
        <v>50200</v>
      </c>
      <c r="Q19" s="20">
        <v>21100000000</v>
      </c>
      <c r="S19" s="20">
        <v>138.4</v>
      </c>
      <c r="T19" s="20">
        <v>1</v>
      </c>
      <c r="V19" s="20">
        <v>1</v>
      </c>
      <c r="W19" s="20">
        <v>320</v>
      </c>
      <c r="X19" s="20">
        <v>320</v>
      </c>
    </row>
    <row r="20" spans="1:24">
      <c r="A20" s="20" t="s">
        <v>196</v>
      </c>
      <c r="B20" s="20">
        <v>97</v>
      </c>
      <c r="C20" s="20">
        <v>99</v>
      </c>
      <c r="D20" s="20">
        <v>7</v>
      </c>
      <c r="E20" s="20">
        <v>5</v>
      </c>
      <c r="G20" s="20">
        <v>1890</v>
      </c>
      <c r="H20" s="20">
        <v>3180000</v>
      </c>
      <c r="I20" s="20">
        <v>65600</v>
      </c>
      <c r="J20" s="20">
        <v>74400</v>
      </c>
      <c r="K20" s="20">
        <v>41.1</v>
      </c>
      <c r="L20" s="20">
        <v>1140000</v>
      </c>
      <c r="M20" s="20">
        <v>22900</v>
      </c>
      <c r="N20" s="20">
        <v>35200</v>
      </c>
      <c r="O20" s="20">
        <v>24.5</v>
      </c>
      <c r="P20" s="20">
        <v>34900</v>
      </c>
      <c r="Q20" s="20">
        <v>2300000000</v>
      </c>
      <c r="S20" s="20">
        <v>83</v>
      </c>
      <c r="T20" s="20">
        <v>1</v>
      </c>
      <c r="V20" s="20">
        <v>1</v>
      </c>
      <c r="W20" s="20">
        <v>320</v>
      </c>
      <c r="X20" s="20">
        <v>320</v>
      </c>
    </row>
  </sheetData>
  <mergeCells count="3">
    <mergeCell ref="H4:K4"/>
    <mergeCell ref="L4:O4"/>
    <mergeCell ref="R5:V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DB964-EF73-4C7B-90F3-2D896ADCEAEF}">
  <sheetPr codeName="Sheet7"/>
  <dimension ref="A1:AP53"/>
  <sheetViews>
    <sheetView topLeftCell="N1" workbookViewId="0">
      <selection activeCell="AE13" sqref="AE13"/>
    </sheetView>
  </sheetViews>
  <sheetFormatPr defaultColWidth="8.88671875" defaultRowHeight="14.4"/>
  <cols>
    <col min="1" max="1" width="11.5546875" style="20" bestFit="1" customWidth="1"/>
    <col min="2" max="18" width="8.88671875" style="20"/>
    <col min="19" max="20" width="10.44140625" style="20" bestFit="1" customWidth="1"/>
    <col min="21" max="16384" width="8.88671875" style="20"/>
  </cols>
  <sheetData>
    <row r="1" spans="1:42">
      <c r="A1" s="21">
        <f>COLUMN()</f>
        <v>1</v>
      </c>
      <c r="B1" s="21">
        <f>COLUMN()</f>
        <v>2</v>
      </c>
      <c r="C1" s="21">
        <f>COLUMN()</f>
        <v>3</v>
      </c>
      <c r="D1" s="21">
        <f>COLUMN()</f>
        <v>4</v>
      </c>
      <c r="E1" s="21">
        <f>COLUMN()</f>
        <v>5</v>
      </c>
      <c r="F1" s="21"/>
      <c r="G1" s="21"/>
      <c r="H1" s="21">
        <f>COLUMN()</f>
        <v>8</v>
      </c>
      <c r="I1" s="21">
        <f>COLUMN()</f>
        <v>9</v>
      </c>
      <c r="J1" s="21">
        <f>COLUMN()</f>
        <v>10</v>
      </c>
      <c r="K1" s="21">
        <f>COLUMN()</f>
        <v>11</v>
      </c>
      <c r="L1" s="21">
        <f>COLUMN()</f>
        <v>12</v>
      </c>
      <c r="M1" s="21">
        <f>COLUMN()</f>
        <v>13</v>
      </c>
      <c r="N1" s="21">
        <f>COLUMN()</f>
        <v>14</v>
      </c>
      <c r="O1" s="21">
        <f>COLUMN()</f>
        <v>15</v>
      </c>
      <c r="P1" s="21">
        <f>COLUMN()</f>
        <v>16</v>
      </c>
      <c r="Q1" s="21">
        <f>COLUMN()</f>
        <v>17</v>
      </c>
      <c r="R1" s="21"/>
      <c r="S1" s="21">
        <f>COLUMN()</f>
        <v>19</v>
      </c>
      <c r="T1" s="21"/>
      <c r="U1" s="21"/>
      <c r="V1" s="21">
        <f>COLUMN()</f>
        <v>22</v>
      </c>
      <c r="W1" s="21">
        <f>COLUMN()</f>
        <v>23</v>
      </c>
      <c r="X1" s="21">
        <f>COLUMN()</f>
        <v>24</v>
      </c>
      <c r="Y1" s="21">
        <f>COLUMN()</f>
        <v>25</v>
      </c>
    </row>
    <row r="2" spans="1:4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3"/>
    </row>
    <row r="3" spans="1:42">
      <c r="A3" s="24" t="s">
        <v>7</v>
      </c>
      <c r="B3" s="24"/>
      <c r="C3" s="24"/>
      <c r="D3" s="24"/>
      <c r="E3" s="24"/>
      <c r="F3" s="24"/>
      <c r="G3" s="24"/>
      <c r="H3" s="24"/>
      <c r="I3" s="25" t="s">
        <v>195</v>
      </c>
      <c r="J3" s="25"/>
      <c r="K3" s="25"/>
      <c r="L3" s="25"/>
      <c r="M3" s="25"/>
      <c r="N3" s="25"/>
      <c r="O3" s="25"/>
      <c r="P3" s="26"/>
      <c r="Q3" s="26"/>
      <c r="R3" s="26"/>
      <c r="S3" s="25"/>
      <c r="T3" s="25"/>
      <c r="U3" s="25"/>
      <c r="V3" s="25"/>
      <c r="W3" s="25"/>
      <c r="X3" s="25" t="s">
        <v>194</v>
      </c>
      <c r="Y3" s="27" t="s">
        <v>193</v>
      </c>
    </row>
    <row r="4" spans="1:42">
      <c r="A4" s="28"/>
      <c r="B4" s="28"/>
      <c r="C4" s="28"/>
      <c r="D4" s="28"/>
      <c r="E4" s="28"/>
      <c r="F4" s="28"/>
      <c r="G4" s="28"/>
      <c r="H4" s="28"/>
      <c r="I4" s="67" t="s">
        <v>192</v>
      </c>
      <c r="J4" s="67"/>
      <c r="K4" s="119" t="s">
        <v>16</v>
      </c>
      <c r="L4" s="119"/>
      <c r="M4" s="119"/>
      <c r="N4" s="119"/>
      <c r="O4" s="119"/>
      <c r="P4" s="119" t="s">
        <v>19</v>
      </c>
      <c r="Q4" s="119"/>
      <c r="R4" s="119"/>
      <c r="S4" s="119"/>
      <c r="T4" s="119"/>
      <c r="U4" s="119"/>
      <c r="V4" s="119"/>
      <c r="W4" s="119"/>
      <c r="X4" s="67" t="s">
        <v>191</v>
      </c>
      <c r="Y4" s="29" t="s">
        <v>191</v>
      </c>
    </row>
    <row r="5" spans="1:42">
      <c r="A5" s="28"/>
      <c r="B5" s="28"/>
      <c r="C5" s="28"/>
      <c r="D5" s="28"/>
      <c r="E5" s="28"/>
      <c r="F5" s="28"/>
      <c r="G5" s="28"/>
      <c r="H5" s="28"/>
      <c r="I5" s="67" t="s">
        <v>190</v>
      </c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29"/>
      <c r="AG5" s="43" t="s">
        <v>264</v>
      </c>
    </row>
    <row r="6" spans="1:42">
      <c r="A6" s="30" t="s">
        <v>118</v>
      </c>
      <c r="B6" s="31" t="s">
        <v>9</v>
      </c>
      <c r="C6" s="31" t="s">
        <v>10</v>
      </c>
      <c r="D6" s="31" t="s">
        <v>12</v>
      </c>
      <c r="E6" s="31" t="s">
        <v>13</v>
      </c>
      <c r="F6" s="31" t="s">
        <v>14</v>
      </c>
      <c r="G6" s="31" t="s">
        <v>263</v>
      </c>
      <c r="H6" s="31" t="s">
        <v>188</v>
      </c>
      <c r="I6" s="32" t="s">
        <v>120</v>
      </c>
      <c r="J6" s="32" t="s">
        <v>262</v>
      </c>
      <c r="K6" s="32" t="s">
        <v>121</v>
      </c>
      <c r="L6" s="32" t="s">
        <v>261</v>
      </c>
      <c r="M6" s="32" t="s">
        <v>122</v>
      </c>
      <c r="N6" s="32" t="s">
        <v>123</v>
      </c>
      <c r="O6" s="32" t="s">
        <v>124</v>
      </c>
      <c r="P6" s="32" t="s">
        <v>125</v>
      </c>
      <c r="Q6" s="44" t="s">
        <v>260</v>
      </c>
      <c r="R6" s="44" t="s">
        <v>259</v>
      </c>
      <c r="S6" s="44" t="s">
        <v>258</v>
      </c>
      <c r="T6" s="44" t="s">
        <v>257</v>
      </c>
      <c r="U6" s="44" t="s">
        <v>127</v>
      </c>
      <c r="V6" s="32" t="s">
        <v>128</v>
      </c>
      <c r="W6" s="32" t="s">
        <v>129</v>
      </c>
      <c r="X6" s="32" t="s">
        <v>17</v>
      </c>
      <c r="Y6" s="41" t="s">
        <v>18</v>
      </c>
      <c r="Z6" s="69" t="s">
        <v>186</v>
      </c>
      <c r="AA6" s="69" t="s">
        <v>185</v>
      </c>
      <c r="AB6" s="66" t="s">
        <v>15</v>
      </c>
      <c r="AC6" s="66" t="s">
        <v>256</v>
      </c>
      <c r="AD6" s="66" t="s">
        <v>131</v>
      </c>
      <c r="AE6" s="66" t="s">
        <v>370</v>
      </c>
      <c r="AF6" s="66" t="s">
        <v>369</v>
      </c>
      <c r="AG6" s="66" t="s">
        <v>130</v>
      </c>
      <c r="AH6" s="34" t="s">
        <v>181</v>
      </c>
      <c r="AI6" s="66" t="s">
        <v>180</v>
      </c>
      <c r="AJ6" s="66" t="s">
        <v>179</v>
      </c>
      <c r="AK6" s="66" t="s">
        <v>178</v>
      </c>
      <c r="AL6" s="66" t="s">
        <v>177</v>
      </c>
      <c r="AM6" s="66" t="s">
        <v>176</v>
      </c>
      <c r="AN6" s="66" t="s">
        <v>175</v>
      </c>
      <c r="AO6" s="66" t="s">
        <v>174</v>
      </c>
      <c r="AP6" s="66" t="s">
        <v>173</v>
      </c>
    </row>
    <row r="7" spans="1:42">
      <c r="A7" s="35" t="s">
        <v>132</v>
      </c>
      <c r="B7" s="35" t="s">
        <v>133</v>
      </c>
      <c r="C7" s="35" t="s">
        <v>133</v>
      </c>
      <c r="D7" s="35" t="s">
        <v>133</v>
      </c>
      <c r="E7" s="35"/>
      <c r="F7" s="35"/>
      <c r="G7" s="35"/>
      <c r="H7" s="35"/>
      <c r="I7" s="65" t="s">
        <v>134</v>
      </c>
      <c r="J7" s="65"/>
      <c r="K7" s="65"/>
      <c r="L7" s="65"/>
      <c r="M7" s="65"/>
      <c r="N7" s="65"/>
      <c r="O7" s="65" t="s">
        <v>133</v>
      </c>
      <c r="P7" s="65"/>
      <c r="Q7" s="70"/>
      <c r="R7" s="70"/>
      <c r="S7" s="70"/>
      <c r="T7" s="70"/>
      <c r="U7" s="70" t="s">
        <v>255</v>
      </c>
      <c r="V7" s="65"/>
      <c r="W7" s="65" t="s">
        <v>133</v>
      </c>
      <c r="X7" s="65" t="s">
        <v>172</v>
      </c>
      <c r="Y7" s="42" t="s">
        <v>171</v>
      </c>
      <c r="Z7" s="69"/>
      <c r="AA7" s="69"/>
      <c r="AB7" s="66"/>
      <c r="AC7" s="66"/>
      <c r="AD7" s="66"/>
      <c r="AE7" s="66"/>
      <c r="AF7" s="66"/>
      <c r="AG7" s="66"/>
      <c r="AH7" s="36" t="s">
        <v>169</v>
      </c>
      <c r="AI7" s="66"/>
      <c r="AJ7" s="66"/>
      <c r="AK7" s="66"/>
      <c r="AL7" s="66"/>
      <c r="AM7" s="66"/>
      <c r="AN7" s="66"/>
      <c r="AO7" s="66"/>
      <c r="AP7" s="66"/>
    </row>
    <row r="8" spans="1:42">
      <c r="A8" s="45" t="s">
        <v>254</v>
      </c>
      <c r="B8" s="20">
        <v>200</v>
      </c>
      <c r="C8" s="20">
        <f t="shared" ref="C8:C53" si="0">B8</f>
        <v>200</v>
      </c>
      <c r="D8" s="20">
        <v>26</v>
      </c>
      <c r="E8" s="20">
        <v>26</v>
      </c>
      <c r="F8" s="20">
        <v>18</v>
      </c>
      <c r="G8" s="20">
        <v>5</v>
      </c>
      <c r="I8" s="20">
        <v>9780</v>
      </c>
      <c r="J8" s="20">
        <f t="shared" ref="J8:J53" si="1">AB8*E8+AC8*D8+D8*E8+AP8</f>
        <v>9724</v>
      </c>
      <c r="K8" s="20">
        <v>56800000</v>
      </c>
      <c r="L8" s="20">
        <v>141</v>
      </c>
      <c r="M8" s="20">
        <f t="shared" ref="M8:M53" si="2">K8/L8</f>
        <v>402836.87943262409</v>
      </c>
      <c r="N8" s="20">
        <v>643000</v>
      </c>
      <c r="O8" s="20">
        <f t="shared" ref="O8:O53" si="3">SQRT(K8/I8)</f>
        <v>76.208732840437619</v>
      </c>
      <c r="P8" s="20">
        <v>14900000</v>
      </c>
      <c r="Q8" s="20">
        <v>73.900000000000006</v>
      </c>
      <c r="R8" s="20">
        <v>83.8</v>
      </c>
      <c r="S8" s="46">
        <f t="shared" ref="S8:S53" si="4">P8/Q8</f>
        <v>201623.81596752367</v>
      </c>
      <c r="T8" s="46">
        <f t="shared" ref="T8:T53" si="5">P8/R8</f>
        <v>177804.29594272078</v>
      </c>
      <c r="U8" s="46">
        <f t="shared" ref="U8:U53" si="6">MIN(T8,S8)</f>
        <v>177804.29594272078</v>
      </c>
      <c r="V8" s="20">
        <v>329000</v>
      </c>
      <c r="W8" s="20">
        <f t="shared" ref="W8:W53" si="7">SQRT(P8/I8)</f>
        <v>39.032260790442152</v>
      </c>
      <c r="X8" s="20">
        <v>2250000</v>
      </c>
      <c r="AB8" s="20">
        <f t="shared" ref="AB8:AB53" si="8">B8-D8</f>
        <v>174</v>
      </c>
      <c r="AC8" s="20">
        <f t="shared" ref="AC8:AC53" si="9">AB8</f>
        <v>174</v>
      </c>
      <c r="AD8" s="20">
        <v>1</v>
      </c>
      <c r="AE8" s="20">
        <v>280</v>
      </c>
      <c r="AF8" s="20">
        <v>280</v>
      </c>
      <c r="AG8" s="18">
        <f t="shared" ref="AG8:AG53" si="10">IF(AH8="",AO8/J8,AH8)</f>
        <v>1</v>
      </c>
      <c r="AH8" s="20">
        <v>1</v>
      </c>
      <c r="AI8" s="20">
        <v>16</v>
      </c>
      <c r="AJ8" s="20">
        <v>16</v>
      </c>
      <c r="AK8" s="40">
        <f t="shared" ref="AK8:AK53" si="11">AB8/E8*(AE8/250)</f>
        <v>7.4953846153846166</v>
      </c>
      <c r="AL8" s="40">
        <f t="shared" ref="AL8:AL53" si="12">AC8/D8*(AF8/250)</f>
        <v>7.4953846153846166</v>
      </c>
      <c r="AM8" s="37">
        <f t="shared" ref="AM8:AM53" si="13">MIN(AB8*(AI8/AK8),AB8)</f>
        <v>174</v>
      </c>
      <c r="AN8" s="40">
        <f t="shared" ref="AN8:AN53" si="14">MIN(AC8*(AJ8/AL8),AC8)</f>
        <v>174</v>
      </c>
      <c r="AO8" s="38">
        <f t="shared" ref="AO8:AO53" si="15">(AM8*E8)+(AN8*D8)+(E8*D8)+AP8</f>
        <v>9724</v>
      </c>
    </row>
    <row r="9" spans="1:42">
      <c r="A9" s="45" t="s">
        <v>253</v>
      </c>
      <c r="B9" s="20">
        <v>200</v>
      </c>
      <c r="C9" s="20">
        <f t="shared" si="0"/>
        <v>200</v>
      </c>
      <c r="D9" s="20">
        <v>20</v>
      </c>
      <c r="E9" s="20">
        <v>20</v>
      </c>
      <c r="F9" s="20">
        <v>18</v>
      </c>
      <c r="G9" s="20">
        <v>5</v>
      </c>
      <c r="I9" s="20">
        <v>7660</v>
      </c>
      <c r="J9" s="20">
        <f t="shared" si="1"/>
        <v>7600</v>
      </c>
      <c r="K9" s="20">
        <v>45700000</v>
      </c>
      <c r="L9" s="20">
        <v>141</v>
      </c>
      <c r="M9" s="20">
        <f t="shared" si="2"/>
        <v>324113.47517730494</v>
      </c>
      <c r="N9" s="20">
        <v>511000</v>
      </c>
      <c r="O9" s="20">
        <f t="shared" si="3"/>
        <v>77.240257905144674</v>
      </c>
      <c r="P9" s="20">
        <v>11800000</v>
      </c>
      <c r="Q9" s="20">
        <v>72.900000000000006</v>
      </c>
      <c r="R9" s="20">
        <v>80.599999999999994</v>
      </c>
      <c r="S9" s="46">
        <f t="shared" si="4"/>
        <v>161865.56927297666</v>
      </c>
      <c r="T9" s="46">
        <f t="shared" si="5"/>
        <v>146401.98511166254</v>
      </c>
      <c r="U9" s="46">
        <f t="shared" si="6"/>
        <v>146401.98511166254</v>
      </c>
      <c r="V9" s="20">
        <v>260000</v>
      </c>
      <c r="W9" s="20">
        <f t="shared" si="7"/>
        <v>39.248821305745466</v>
      </c>
      <c r="X9" s="20">
        <v>1060000</v>
      </c>
      <c r="AB9" s="20">
        <f t="shared" si="8"/>
        <v>180</v>
      </c>
      <c r="AC9" s="20">
        <f t="shared" si="9"/>
        <v>180</v>
      </c>
      <c r="AD9" s="20">
        <v>1</v>
      </c>
      <c r="AE9" s="20">
        <v>280</v>
      </c>
      <c r="AF9" s="20">
        <v>280</v>
      </c>
      <c r="AG9" s="18">
        <f t="shared" si="10"/>
        <v>1</v>
      </c>
      <c r="AH9" s="20">
        <v>1</v>
      </c>
      <c r="AI9" s="20">
        <v>16</v>
      </c>
      <c r="AJ9" s="20">
        <v>16</v>
      </c>
      <c r="AK9" s="40">
        <f t="shared" si="11"/>
        <v>10.080000000000002</v>
      </c>
      <c r="AL9" s="40">
        <f t="shared" si="12"/>
        <v>10.080000000000002</v>
      </c>
      <c r="AM9" s="37">
        <f t="shared" si="13"/>
        <v>180</v>
      </c>
      <c r="AN9" s="40">
        <f t="shared" si="14"/>
        <v>180</v>
      </c>
      <c r="AO9" s="38">
        <f t="shared" si="15"/>
        <v>7600</v>
      </c>
    </row>
    <row r="10" spans="1:42">
      <c r="A10" s="45" t="s">
        <v>252</v>
      </c>
      <c r="B10" s="20">
        <v>200</v>
      </c>
      <c r="C10" s="20">
        <f t="shared" si="0"/>
        <v>200</v>
      </c>
      <c r="D10" s="20">
        <v>18</v>
      </c>
      <c r="E10" s="20">
        <v>18</v>
      </c>
      <c r="F10" s="20">
        <v>18</v>
      </c>
      <c r="G10" s="20">
        <v>5</v>
      </c>
      <c r="I10" s="20">
        <v>6930</v>
      </c>
      <c r="J10" s="20">
        <f t="shared" si="1"/>
        <v>6876</v>
      </c>
      <c r="K10" s="20">
        <v>41700000</v>
      </c>
      <c r="L10" s="20">
        <v>141</v>
      </c>
      <c r="M10" s="20">
        <f t="shared" si="2"/>
        <v>295744.68085106381</v>
      </c>
      <c r="N10" s="20">
        <v>464000</v>
      </c>
      <c r="O10" s="20">
        <f t="shared" si="3"/>
        <v>77.571360806137832</v>
      </c>
      <c r="P10" s="20">
        <v>10800000</v>
      </c>
      <c r="Q10" s="20">
        <v>72.599999999999994</v>
      </c>
      <c r="R10" s="20">
        <v>79.5</v>
      </c>
      <c r="S10" s="46">
        <f t="shared" si="4"/>
        <v>148760.3305785124</v>
      </c>
      <c r="T10" s="46">
        <f t="shared" si="5"/>
        <v>135849.05660377358</v>
      </c>
      <c r="U10" s="46">
        <f t="shared" si="6"/>
        <v>135849.05660377358</v>
      </c>
      <c r="V10" s="20">
        <v>236000</v>
      </c>
      <c r="W10" s="20">
        <f t="shared" si="7"/>
        <v>39.477101697586143</v>
      </c>
      <c r="X10" s="20">
        <v>778000</v>
      </c>
      <c r="AB10" s="20">
        <f t="shared" si="8"/>
        <v>182</v>
      </c>
      <c r="AC10" s="20">
        <f t="shared" si="9"/>
        <v>182</v>
      </c>
      <c r="AD10" s="20">
        <v>1</v>
      </c>
      <c r="AE10" s="20">
        <v>280</v>
      </c>
      <c r="AF10" s="20">
        <v>280</v>
      </c>
      <c r="AG10" s="18">
        <f t="shared" si="10"/>
        <v>1</v>
      </c>
      <c r="AH10" s="20">
        <v>1</v>
      </c>
      <c r="AI10" s="20">
        <v>16</v>
      </c>
      <c r="AJ10" s="20">
        <v>16</v>
      </c>
      <c r="AK10" s="40">
        <f t="shared" si="11"/>
        <v>11.324444444444445</v>
      </c>
      <c r="AL10" s="40">
        <f t="shared" si="12"/>
        <v>11.324444444444445</v>
      </c>
      <c r="AM10" s="37">
        <f t="shared" si="13"/>
        <v>182</v>
      </c>
      <c r="AN10" s="40">
        <f t="shared" si="14"/>
        <v>182</v>
      </c>
      <c r="AO10" s="38">
        <f t="shared" si="15"/>
        <v>6876</v>
      </c>
    </row>
    <row r="11" spans="1:42">
      <c r="A11" s="45" t="s">
        <v>251</v>
      </c>
      <c r="B11" s="20">
        <v>200</v>
      </c>
      <c r="C11" s="20">
        <f t="shared" si="0"/>
        <v>200</v>
      </c>
      <c r="D11" s="20">
        <v>16</v>
      </c>
      <c r="E11" s="20">
        <v>16</v>
      </c>
      <c r="F11" s="20">
        <v>18</v>
      </c>
      <c r="G11" s="20">
        <v>5</v>
      </c>
      <c r="I11" s="20">
        <v>6200</v>
      </c>
      <c r="J11" s="20">
        <f t="shared" si="1"/>
        <v>6144</v>
      </c>
      <c r="K11" s="20">
        <v>37600000</v>
      </c>
      <c r="L11" s="20">
        <v>141</v>
      </c>
      <c r="M11" s="20">
        <f t="shared" si="2"/>
        <v>266666.66666666669</v>
      </c>
      <c r="N11" s="20">
        <v>417000</v>
      </c>
      <c r="O11" s="20">
        <f t="shared" si="3"/>
        <v>77.875003236162101</v>
      </c>
      <c r="P11" s="20">
        <v>9720000</v>
      </c>
      <c r="Q11" s="20">
        <v>72.3</v>
      </c>
      <c r="R11" s="20">
        <v>78.400000000000006</v>
      </c>
      <c r="S11" s="46">
        <f t="shared" si="4"/>
        <v>134439.83402489626</v>
      </c>
      <c r="T11" s="46">
        <f t="shared" si="5"/>
        <v>123979.59183673469</v>
      </c>
      <c r="U11" s="46">
        <f t="shared" si="6"/>
        <v>123979.59183673469</v>
      </c>
      <c r="V11" s="20">
        <v>212000</v>
      </c>
      <c r="W11" s="20">
        <f t="shared" si="7"/>
        <v>39.59472105576539</v>
      </c>
      <c r="X11" s="20">
        <v>554000</v>
      </c>
      <c r="AB11" s="20">
        <f t="shared" si="8"/>
        <v>184</v>
      </c>
      <c r="AC11" s="20">
        <f t="shared" si="9"/>
        <v>184</v>
      </c>
      <c r="AD11" s="20">
        <v>1</v>
      </c>
      <c r="AE11" s="20">
        <v>300</v>
      </c>
      <c r="AF11" s="20">
        <v>300</v>
      </c>
      <c r="AG11" s="18">
        <f t="shared" si="10"/>
        <v>1</v>
      </c>
      <c r="AH11" s="20">
        <v>1</v>
      </c>
      <c r="AI11" s="20">
        <v>16</v>
      </c>
      <c r="AJ11" s="20">
        <v>16</v>
      </c>
      <c r="AK11" s="40">
        <f t="shared" si="11"/>
        <v>13.799999999999999</v>
      </c>
      <c r="AL11" s="40">
        <f t="shared" si="12"/>
        <v>13.799999999999999</v>
      </c>
      <c r="AM11" s="37">
        <f t="shared" si="13"/>
        <v>184</v>
      </c>
      <c r="AN11" s="40">
        <f t="shared" si="14"/>
        <v>184</v>
      </c>
      <c r="AO11" s="38">
        <f t="shared" si="15"/>
        <v>6144</v>
      </c>
    </row>
    <row r="12" spans="1:42">
      <c r="A12" s="45" t="s">
        <v>250</v>
      </c>
      <c r="B12" s="20">
        <v>200</v>
      </c>
      <c r="C12" s="20">
        <f t="shared" si="0"/>
        <v>200</v>
      </c>
      <c r="D12" s="20">
        <v>13</v>
      </c>
      <c r="E12" s="20">
        <v>13</v>
      </c>
      <c r="F12" s="20">
        <v>18</v>
      </c>
      <c r="G12" s="20">
        <v>5</v>
      </c>
      <c r="I12" s="20">
        <v>5090</v>
      </c>
      <c r="J12" s="20">
        <f t="shared" si="1"/>
        <v>5031</v>
      </c>
      <c r="K12" s="20">
        <v>31200000</v>
      </c>
      <c r="L12" s="20">
        <v>141</v>
      </c>
      <c r="M12" s="20">
        <f t="shared" si="2"/>
        <v>221276.59574468085</v>
      </c>
      <c r="N12" s="20">
        <v>344000</v>
      </c>
      <c r="O12" s="20">
        <f t="shared" si="3"/>
        <v>78.292183593177541</v>
      </c>
      <c r="P12" s="20">
        <v>8080000</v>
      </c>
      <c r="Q12" s="20">
        <v>71.900000000000006</v>
      </c>
      <c r="R12" s="20">
        <v>76.599999999999994</v>
      </c>
      <c r="S12" s="46">
        <f t="shared" si="4"/>
        <v>112378.30319888734</v>
      </c>
      <c r="T12" s="46">
        <f t="shared" si="5"/>
        <v>105483.02872062664</v>
      </c>
      <c r="U12" s="46">
        <f t="shared" si="6"/>
        <v>105483.02872062664</v>
      </c>
      <c r="V12" s="20">
        <v>176000</v>
      </c>
      <c r="W12" s="20">
        <f t="shared" si="7"/>
        <v>39.84251907359355</v>
      </c>
      <c r="X12" s="20">
        <v>304000</v>
      </c>
      <c r="AB12" s="20">
        <f t="shared" si="8"/>
        <v>187</v>
      </c>
      <c r="AC12" s="20">
        <f t="shared" si="9"/>
        <v>187</v>
      </c>
      <c r="AD12" s="20">
        <v>1</v>
      </c>
      <c r="AE12" s="20">
        <v>300</v>
      </c>
      <c r="AF12" s="20">
        <v>300</v>
      </c>
      <c r="AG12" s="18">
        <f t="shared" si="10"/>
        <v>1</v>
      </c>
      <c r="AH12" s="20">
        <v>1</v>
      </c>
      <c r="AI12" s="20">
        <v>16</v>
      </c>
      <c r="AJ12" s="20">
        <v>16</v>
      </c>
      <c r="AK12" s="40">
        <f t="shared" si="11"/>
        <v>17.261538461538461</v>
      </c>
      <c r="AL12" s="40">
        <f t="shared" si="12"/>
        <v>17.261538461538461</v>
      </c>
      <c r="AM12" s="37">
        <f t="shared" si="13"/>
        <v>173.33333333333334</v>
      </c>
      <c r="AN12" s="40">
        <f t="shared" si="14"/>
        <v>173.33333333333334</v>
      </c>
      <c r="AO12" s="38">
        <f t="shared" si="15"/>
        <v>4675.666666666667</v>
      </c>
    </row>
    <row r="13" spans="1:42">
      <c r="A13" s="45" t="s">
        <v>249</v>
      </c>
      <c r="B13" s="20">
        <v>150</v>
      </c>
      <c r="C13" s="20">
        <f t="shared" si="0"/>
        <v>150</v>
      </c>
      <c r="D13" s="20">
        <v>19</v>
      </c>
      <c r="E13" s="20">
        <v>19</v>
      </c>
      <c r="F13" s="20">
        <v>13</v>
      </c>
      <c r="G13" s="20">
        <v>5</v>
      </c>
      <c r="I13" s="20">
        <v>5360</v>
      </c>
      <c r="J13" s="20">
        <f t="shared" si="1"/>
        <v>5339</v>
      </c>
      <c r="K13" s="20">
        <v>17600000</v>
      </c>
      <c r="L13" s="20">
        <v>106</v>
      </c>
      <c r="M13" s="20">
        <f t="shared" si="2"/>
        <v>166037.7358490566</v>
      </c>
      <c r="N13" s="20">
        <v>265000</v>
      </c>
      <c r="O13" s="20">
        <f t="shared" si="3"/>
        <v>57.302548717768559</v>
      </c>
      <c r="P13" s="20">
        <v>4600000</v>
      </c>
      <c r="Q13" s="20">
        <v>54.9</v>
      </c>
      <c r="R13" s="20">
        <v>62.6</v>
      </c>
      <c r="S13" s="46">
        <f t="shared" si="4"/>
        <v>83788.706739526417</v>
      </c>
      <c r="T13" s="46">
        <f t="shared" si="5"/>
        <v>73482.428115015966</v>
      </c>
      <c r="U13" s="46">
        <f t="shared" si="6"/>
        <v>73482.428115015966</v>
      </c>
      <c r="V13" s="20">
        <v>135000</v>
      </c>
      <c r="W13" s="20">
        <f t="shared" si="7"/>
        <v>29.29520362147839</v>
      </c>
      <c r="X13" s="20">
        <v>657000</v>
      </c>
      <c r="AB13" s="20">
        <f t="shared" si="8"/>
        <v>131</v>
      </c>
      <c r="AC13" s="20">
        <f t="shared" si="9"/>
        <v>131</v>
      </c>
      <c r="AD13" s="20">
        <v>1</v>
      </c>
      <c r="AE13" s="20">
        <v>280</v>
      </c>
      <c r="AF13" s="20">
        <v>280</v>
      </c>
      <c r="AG13" s="18">
        <f t="shared" si="10"/>
        <v>1</v>
      </c>
      <c r="AH13" s="20">
        <v>1</v>
      </c>
      <c r="AI13" s="20">
        <v>16</v>
      </c>
      <c r="AJ13" s="20">
        <v>16</v>
      </c>
      <c r="AK13" s="40">
        <f t="shared" si="11"/>
        <v>7.7221052631578955</v>
      </c>
      <c r="AL13" s="40">
        <f t="shared" si="12"/>
        <v>7.7221052631578955</v>
      </c>
      <c r="AM13" s="37">
        <f t="shared" si="13"/>
        <v>131</v>
      </c>
      <c r="AN13" s="40">
        <f t="shared" si="14"/>
        <v>131</v>
      </c>
      <c r="AO13" s="38">
        <f t="shared" si="15"/>
        <v>5339</v>
      </c>
    </row>
    <row r="14" spans="1:42">
      <c r="A14" s="45" t="s">
        <v>248</v>
      </c>
      <c r="B14" s="20">
        <v>150</v>
      </c>
      <c r="C14" s="20">
        <f t="shared" si="0"/>
        <v>150</v>
      </c>
      <c r="D14" s="20">
        <v>15.8</v>
      </c>
      <c r="E14" s="20">
        <v>15.8</v>
      </c>
      <c r="F14" s="20">
        <v>13</v>
      </c>
      <c r="G14" s="20">
        <v>5</v>
      </c>
      <c r="I14" s="20">
        <v>4520</v>
      </c>
      <c r="J14" s="20">
        <f t="shared" si="1"/>
        <v>4490.3600000000006</v>
      </c>
      <c r="K14" s="20">
        <v>15100000</v>
      </c>
      <c r="L14" s="20">
        <v>106</v>
      </c>
      <c r="M14" s="20">
        <f t="shared" si="2"/>
        <v>142452.83018867925</v>
      </c>
      <c r="N14" s="20">
        <v>225000</v>
      </c>
      <c r="O14" s="20">
        <f t="shared" si="3"/>
        <v>57.798857813989457</v>
      </c>
      <c r="P14" s="20">
        <v>3910000</v>
      </c>
      <c r="Q14" s="20">
        <v>54.3</v>
      </c>
      <c r="R14" s="20">
        <v>60.8</v>
      </c>
      <c r="S14" s="46">
        <f t="shared" si="4"/>
        <v>72007.366482504614</v>
      </c>
      <c r="T14" s="46">
        <f t="shared" si="5"/>
        <v>64309.210526315794</v>
      </c>
      <c r="U14" s="46">
        <f t="shared" si="6"/>
        <v>64309.210526315794</v>
      </c>
      <c r="V14" s="20">
        <v>115000</v>
      </c>
      <c r="W14" s="20">
        <f t="shared" si="7"/>
        <v>29.411634565042636</v>
      </c>
      <c r="X14" s="20">
        <v>386000</v>
      </c>
      <c r="AB14" s="20">
        <f t="shared" si="8"/>
        <v>134.19999999999999</v>
      </c>
      <c r="AC14" s="20">
        <f t="shared" si="9"/>
        <v>134.19999999999999</v>
      </c>
      <c r="AD14" s="20">
        <v>1</v>
      </c>
      <c r="AE14" s="20">
        <v>300</v>
      </c>
      <c r="AF14" s="20">
        <v>300</v>
      </c>
      <c r="AG14" s="18">
        <f t="shared" si="10"/>
        <v>1</v>
      </c>
      <c r="AH14" s="20">
        <v>1</v>
      </c>
      <c r="AI14" s="20">
        <v>16</v>
      </c>
      <c r="AJ14" s="20">
        <v>16</v>
      </c>
      <c r="AK14" s="40">
        <f t="shared" si="11"/>
        <v>10.192405063291138</v>
      </c>
      <c r="AL14" s="40">
        <f t="shared" si="12"/>
        <v>10.192405063291138</v>
      </c>
      <c r="AM14" s="37">
        <f t="shared" si="13"/>
        <v>134.19999999999999</v>
      </c>
      <c r="AN14" s="40">
        <f t="shared" si="14"/>
        <v>134.19999999999999</v>
      </c>
      <c r="AO14" s="38">
        <f t="shared" si="15"/>
        <v>4490.3600000000006</v>
      </c>
    </row>
    <row r="15" spans="1:42">
      <c r="A15" s="45" t="s">
        <v>247</v>
      </c>
      <c r="B15" s="20">
        <v>150</v>
      </c>
      <c r="C15" s="20">
        <f t="shared" si="0"/>
        <v>150</v>
      </c>
      <c r="D15" s="20">
        <v>12</v>
      </c>
      <c r="E15" s="20">
        <v>12</v>
      </c>
      <c r="F15" s="20">
        <v>13</v>
      </c>
      <c r="G15" s="20">
        <v>5</v>
      </c>
      <c r="I15" s="20">
        <v>3480</v>
      </c>
      <c r="J15" s="20">
        <f t="shared" si="1"/>
        <v>3456</v>
      </c>
      <c r="K15" s="20">
        <v>11900000</v>
      </c>
      <c r="L15" s="20">
        <v>106</v>
      </c>
      <c r="M15" s="20">
        <f t="shared" si="2"/>
        <v>112264.15094339622</v>
      </c>
      <c r="N15" s="20">
        <v>175000</v>
      </c>
      <c r="O15" s="20">
        <f t="shared" si="3"/>
        <v>58.476834985189285</v>
      </c>
      <c r="P15" s="20">
        <v>3060000</v>
      </c>
      <c r="Q15" s="20">
        <v>53.7</v>
      </c>
      <c r="R15" s="20">
        <v>58.7</v>
      </c>
      <c r="S15" s="46">
        <f t="shared" si="4"/>
        <v>56983.240223463683</v>
      </c>
      <c r="T15" s="46">
        <f t="shared" si="5"/>
        <v>52129.471890971035</v>
      </c>
      <c r="U15" s="46">
        <f t="shared" si="6"/>
        <v>52129.471890971035</v>
      </c>
      <c r="V15" s="20">
        <v>89300</v>
      </c>
      <c r="W15" s="20">
        <f t="shared" si="7"/>
        <v>29.653167534474058</v>
      </c>
      <c r="X15" s="20">
        <v>174000</v>
      </c>
      <c r="AB15" s="20">
        <f t="shared" si="8"/>
        <v>138</v>
      </c>
      <c r="AC15" s="20">
        <f t="shared" si="9"/>
        <v>138</v>
      </c>
      <c r="AD15" s="20">
        <v>1</v>
      </c>
      <c r="AE15" s="20">
        <v>300</v>
      </c>
      <c r="AF15" s="20">
        <v>300</v>
      </c>
      <c r="AG15" s="18">
        <f t="shared" si="10"/>
        <v>1</v>
      </c>
      <c r="AH15" s="20">
        <v>1</v>
      </c>
      <c r="AI15" s="20">
        <v>16</v>
      </c>
      <c r="AJ15" s="20">
        <v>16</v>
      </c>
      <c r="AK15" s="40">
        <f t="shared" si="11"/>
        <v>13.799999999999999</v>
      </c>
      <c r="AL15" s="40">
        <f t="shared" si="12"/>
        <v>13.799999999999999</v>
      </c>
      <c r="AM15" s="37">
        <f t="shared" si="13"/>
        <v>138</v>
      </c>
      <c r="AN15" s="40">
        <f t="shared" si="14"/>
        <v>138</v>
      </c>
      <c r="AO15" s="38">
        <f t="shared" si="15"/>
        <v>3456</v>
      </c>
    </row>
    <row r="16" spans="1:42">
      <c r="A16" s="45" t="s">
        <v>246</v>
      </c>
      <c r="B16" s="20">
        <v>150</v>
      </c>
      <c r="C16" s="20">
        <f t="shared" si="0"/>
        <v>150</v>
      </c>
      <c r="D16" s="20">
        <v>9.5</v>
      </c>
      <c r="E16" s="20">
        <v>9.5</v>
      </c>
      <c r="F16" s="20">
        <v>13</v>
      </c>
      <c r="G16" s="20">
        <v>5</v>
      </c>
      <c r="I16" s="20">
        <v>2790</v>
      </c>
      <c r="J16" s="20">
        <f t="shared" si="1"/>
        <v>2759.75</v>
      </c>
      <c r="K16" s="20">
        <v>9610000</v>
      </c>
      <c r="L16" s="20">
        <v>106</v>
      </c>
      <c r="M16" s="20">
        <f t="shared" si="2"/>
        <v>90660.377358490572</v>
      </c>
      <c r="N16" s="20">
        <v>141000</v>
      </c>
      <c r="O16" s="20">
        <f t="shared" si="3"/>
        <v>58.68938953886336</v>
      </c>
      <c r="P16" s="20">
        <v>2480000</v>
      </c>
      <c r="Q16" s="20">
        <v>53.4</v>
      </c>
      <c r="R16" s="20">
        <v>57.3</v>
      </c>
      <c r="S16" s="46">
        <f t="shared" si="4"/>
        <v>46441.947565543072</v>
      </c>
      <c r="T16" s="46">
        <f t="shared" si="5"/>
        <v>43280.977312390925</v>
      </c>
      <c r="U16" s="46">
        <f t="shared" si="6"/>
        <v>43280.977312390925</v>
      </c>
      <c r="V16" s="20">
        <v>72000</v>
      </c>
      <c r="W16" s="20">
        <f t="shared" si="7"/>
        <v>29.814239699997195</v>
      </c>
      <c r="X16" s="20">
        <v>88900</v>
      </c>
      <c r="AB16" s="20">
        <f t="shared" si="8"/>
        <v>140.5</v>
      </c>
      <c r="AC16" s="20">
        <f t="shared" si="9"/>
        <v>140.5</v>
      </c>
      <c r="AD16" s="20">
        <v>1</v>
      </c>
      <c r="AE16" s="20">
        <v>320</v>
      </c>
      <c r="AF16" s="20">
        <v>320</v>
      </c>
      <c r="AG16" s="18">
        <f t="shared" si="10"/>
        <v>0.95799999999999996</v>
      </c>
      <c r="AH16" s="20">
        <v>0.95799999999999996</v>
      </c>
      <c r="AI16" s="20">
        <v>16</v>
      </c>
      <c r="AJ16" s="20">
        <v>16</v>
      </c>
      <c r="AK16" s="40">
        <f t="shared" si="11"/>
        <v>18.930526315789475</v>
      </c>
      <c r="AL16" s="40">
        <f t="shared" si="12"/>
        <v>18.930526315789475</v>
      </c>
      <c r="AM16" s="37">
        <f t="shared" si="13"/>
        <v>118.74999999999999</v>
      </c>
      <c r="AN16" s="40">
        <f t="shared" si="14"/>
        <v>118.74999999999999</v>
      </c>
      <c r="AO16" s="38">
        <f t="shared" si="15"/>
        <v>2346.4999999999995</v>
      </c>
    </row>
    <row r="17" spans="1:41">
      <c r="A17" s="45" t="s">
        <v>245</v>
      </c>
      <c r="B17" s="20">
        <v>125</v>
      </c>
      <c r="C17" s="20">
        <f t="shared" si="0"/>
        <v>125</v>
      </c>
      <c r="D17" s="20">
        <v>15.8</v>
      </c>
      <c r="E17" s="20">
        <v>15.8</v>
      </c>
      <c r="F17" s="20">
        <v>10</v>
      </c>
      <c r="G17" s="20">
        <v>5</v>
      </c>
      <c r="I17" s="20">
        <v>3710</v>
      </c>
      <c r="J17" s="20">
        <f t="shared" si="1"/>
        <v>3700.36</v>
      </c>
      <c r="K17" s="20">
        <v>8430000</v>
      </c>
      <c r="L17" s="20">
        <v>88.4</v>
      </c>
      <c r="M17" s="20">
        <f t="shared" si="2"/>
        <v>95361.990950226245</v>
      </c>
      <c r="N17" s="20">
        <v>153000</v>
      </c>
      <c r="O17" s="20">
        <f t="shared" si="3"/>
        <v>47.667989225113097</v>
      </c>
      <c r="P17" s="20">
        <v>2200000</v>
      </c>
      <c r="Q17" s="20">
        <v>45.4</v>
      </c>
      <c r="R17" s="20">
        <v>52.1</v>
      </c>
      <c r="S17" s="46">
        <f t="shared" si="4"/>
        <v>48458.149779735686</v>
      </c>
      <c r="T17" s="46">
        <f t="shared" si="5"/>
        <v>42226.48752399232</v>
      </c>
      <c r="U17" s="46">
        <f t="shared" si="6"/>
        <v>42226.48752399232</v>
      </c>
      <c r="V17" s="20">
        <v>77800</v>
      </c>
      <c r="W17" s="20">
        <f t="shared" si="7"/>
        <v>24.351425291892685</v>
      </c>
      <c r="X17" s="20">
        <v>313000</v>
      </c>
      <c r="AB17" s="20">
        <f t="shared" si="8"/>
        <v>109.2</v>
      </c>
      <c r="AC17" s="20">
        <f t="shared" si="9"/>
        <v>109.2</v>
      </c>
      <c r="AD17" s="20">
        <v>1</v>
      </c>
      <c r="AE17" s="20">
        <v>300</v>
      </c>
      <c r="AF17" s="20">
        <v>300</v>
      </c>
      <c r="AG17" s="18">
        <f t="shared" si="10"/>
        <v>1</v>
      </c>
      <c r="AH17" s="20">
        <v>1</v>
      </c>
      <c r="AI17" s="20">
        <v>16</v>
      </c>
      <c r="AJ17" s="20">
        <v>16</v>
      </c>
      <c r="AK17" s="40">
        <f t="shared" si="11"/>
        <v>8.2936708860759492</v>
      </c>
      <c r="AL17" s="40">
        <f t="shared" si="12"/>
        <v>8.2936708860759492</v>
      </c>
      <c r="AM17" s="37">
        <f t="shared" si="13"/>
        <v>109.2</v>
      </c>
      <c r="AN17" s="40">
        <f t="shared" si="14"/>
        <v>109.2</v>
      </c>
      <c r="AO17" s="38">
        <f t="shared" si="15"/>
        <v>3700.36</v>
      </c>
    </row>
    <row r="18" spans="1:41">
      <c r="A18" s="45" t="s">
        <v>244</v>
      </c>
      <c r="B18" s="20">
        <v>125</v>
      </c>
      <c r="C18" s="20">
        <f t="shared" si="0"/>
        <v>125</v>
      </c>
      <c r="D18" s="20">
        <v>12</v>
      </c>
      <c r="E18" s="20">
        <v>12</v>
      </c>
      <c r="F18" s="20">
        <v>10</v>
      </c>
      <c r="G18" s="20">
        <v>5</v>
      </c>
      <c r="I18" s="20">
        <v>2870</v>
      </c>
      <c r="J18" s="20">
        <f t="shared" si="1"/>
        <v>2856</v>
      </c>
      <c r="K18" s="20">
        <v>6690000</v>
      </c>
      <c r="L18" s="20">
        <v>88.4</v>
      </c>
      <c r="M18" s="20">
        <f t="shared" si="2"/>
        <v>75678.733031674201</v>
      </c>
      <c r="N18" s="20">
        <v>120000</v>
      </c>
      <c r="O18" s="20">
        <f t="shared" si="3"/>
        <v>48.280539070744361</v>
      </c>
      <c r="P18" s="20">
        <v>1730000</v>
      </c>
      <c r="Q18" s="20">
        <v>44.7</v>
      </c>
      <c r="R18" s="20">
        <v>50.1</v>
      </c>
      <c r="S18" s="46">
        <f t="shared" si="4"/>
        <v>38702.460850111856</v>
      </c>
      <c r="T18" s="46">
        <f t="shared" si="5"/>
        <v>34530.938123752494</v>
      </c>
      <c r="U18" s="46">
        <f t="shared" si="6"/>
        <v>34530.938123752494</v>
      </c>
      <c r="V18" s="20">
        <v>60800</v>
      </c>
      <c r="W18" s="20">
        <f t="shared" si="7"/>
        <v>24.551730212878951</v>
      </c>
      <c r="X18" s="20">
        <v>141000</v>
      </c>
      <c r="AB18" s="20">
        <f t="shared" si="8"/>
        <v>113</v>
      </c>
      <c r="AC18" s="20">
        <f t="shared" si="9"/>
        <v>113</v>
      </c>
      <c r="AD18" s="20">
        <v>1</v>
      </c>
      <c r="AE18" s="20">
        <v>300</v>
      </c>
      <c r="AF18" s="20">
        <v>300</v>
      </c>
      <c r="AG18" s="18">
        <f t="shared" si="10"/>
        <v>1</v>
      </c>
      <c r="AH18" s="20">
        <v>1</v>
      </c>
      <c r="AI18" s="20">
        <v>16</v>
      </c>
      <c r="AJ18" s="20">
        <v>16</v>
      </c>
      <c r="AK18" s="40">
        <f t="shared" si="11"/>
        <v>11.299999999999999</v>
      </c>
      <c r="AL18" s="40">
        <f t="shared" si="12"/>
        <v>11.299999999999999</v>
      </c>
      <c r="AM18" s="37">
        <f t="shared" si="13"/>
        <v>113</v>
      </c>
      <c r="AN18" s="40">
        <f t="shared" si="14"/>
        <v>113</v>
      </c>
      <c r="AO18" s="38">
        <f t="shared" si="15"/>
        <v>2856</v>
      </c>
    </row>
    <row r="19" spans="1:41">
      <c r="A19" s="45" t="s">
        <v>243</v>
      </c>
      <c r="B19" s="20">
        <v>125</v>
      </c>
      <c r="C19" s="20">
        <f t="shared" si="0"/>
        <v>125</v>
      </c>
      <c r="D19" s="20">
        <v>9.5</v>
      </c>
      <c r="E19" s="20">
        <v>9.5</v>
      </c>
      <c r="F19" s="20">
        <v>10</v>
      </c>
      <c r="G19" s="20">
        <v>5</v>
      </c>
      <c r="I19" s="20">
        <v>2300</v>
      </c>
      <c r="J19" s="20">
        <f t="shared" si="1"/>
        <v>2284.75</v>
      </c>
      <c r="K19" s="20">
        <v>5440000</v>
      </c>
      <c r="L19" s="20">
        <v>88.4</v>
      </c>
      <c r="M19" s="20">
        <f t="shared" si="2"/>
        <v>61538.461538461532</v>
      </c>
      <c r="N19" s="20">
        <v>96500</v>
      </c>
      <c r="O19" s="20">
        <f t="shared" si="3"/>
        <v>48.633500709946304</v>
      </c>
      <c r="P19" s="20">
        <v>1400000</v>
      </c>
      <c r="Q19" s="20">
        <v>44.4</v>
      </c>
      <c r="R19" s="20">
        <v>48.7</v>
      </c>
      <c r="S19" s="46">
        <f t="shared" si="4"/>
        <v>31531.531531531531</v>
      </c>
      <c r="T19" s="46">
        <f t="shared" si="5"/>
        <v>28747.433264887062</v>
      </c>
      <c r="U19" s="46">
        <f t="shared" si="6"/>
        <v>28747.433264887062</v>
      </c>
      <c r="V19" s="20">
        <v>49000</v>
      </c>
      <c r="W19" s="20">
        <f t="shared" si="7"/>
        <v>24.671758189758446</v>
      </c>
      <c r="X19" s="20">
        <v>71900</v>
      </c>
      <c r="AB19" s="20">
        <f t="shared" si="8"/>
        <v>115.5</v>
      </c>
      <c r="AC19" s="20">
        <f t="shared" si="9"/>
        <v>115.5</v>
      </c>
      <c r="AD19" s="20">
        <v>1</v>
      </c>
      <c r="AE19" s="20">
        <v>320</v>
      </c>
      <c r="AF19" s="20">
        <v>320</v>
      </c>
      <c r="AG19" s="18">
        <f t="shared" si="10"/>
        <v>1</v>
      </c>
      <c r="AH19" s="20">
        <v>1</v>
      </c>
      <c r="AI19" s="20">
        <v>16</v>
      </c>
      <c r="AJ19" s="20">
        <v>16</v>
      </c>
      <c r="AK19" s="40">
        <f t="shared" si="11"/>
        <v>15.562105263157894</v>
      </c>
      <c r="AL19" s="40">
        <f t="shared" si="12"/>
        <v>15.562105263157894</v>
      </c>
      <c r="AM19" s="37">
        <f t="shared" si="13"/>
        <v>115.5</v>
      </c>
      <c r="AN19" s="40">
        <f t="shared" si="14"/>
        <v>115.5</v>
      </c>
      <c r="AO19" s="38">
        <f t="shared" si="15"/>
        <v>2284.75</v>
      </c>
    </row>
    <row r="20" spans="1:41">
      <c r="A20" s="45" t="s">
        <v>242</v>
      </c>
      <c r="B20" s="20">
        <v>125</v>
      </c>
      <c r="C20" s="20">
        <f t="shared" si="0"/>
        <v>125</v>
      </c>
      <c r="D20" s="20">
        <v>7.8</v>
      </c>
      <c r="E20" s="20">
        <v>7.8</v>
      </c>
      <c r="F20" s="20">
        <v>10</v>
      </c>
      <c r="G20" s="20">
        <v>5</v>
      </c>
      <c r="I20" s="20">
        <v>1900</v>
      </c>
      <c r="J20" s="20">
        <f t="shared" si="1"/>
        <v>1889.1599999999999</v>
      </c>
      <c r="K20" s="20">
        <v>4550000</v>
      </c>
      <c r="L20" s="20">
        <v>88.4</v>
      </c>
      <c r="M20" s="20">
        <f t="shared" si="2"/>
        <v>51470.588235294112</v>
      </c>
      <c r="N20" s="20">
        <v>80200</v>
      </c>
      <c r="O20" s="20">
        <f t="shared" si="3"/>
        <v>48.936048492959294</v>
      </c>
      <c r="P20" s="20">
        <v>1170000</v>
      </c>
      <c r="Q20" s="20">
        <v>44.2</v>
      </c>
      <c r="R20" s="20">
        <v>47.7</v>
      </c>
      <c r="S20" s="46">
        <f t="shared" si="4"/>
        <v>26470.588235294115</v>
      </c>
      <c r="T20" s="46">
        <f t="shared" si="5"/>
        <v>24528.301886792451</v>
      </c>
      <c r="U20" s="46">
        <f t="shared" si="6"/>
        <v>24528.301886792451</v>
      </c>
      <c r="V20" s="20">
        <v>40800</v>
      </c>
      <c r="W20" s="20">
        <f t="shared" si="7"/>
        <v>24.815105756055335</v>
      </c>
      <c r="X20" s="20">
        <v>40600</v>
      </c>
      <c r="AB20" s="20">
        <f t="shared" si="8"/>
        <v>117.2</v>
      </c>
      <c r="AC20" s="20">
        <f t="shared" si="9"/>
        <v>117.2</v>
      </c>
      <c r="AD20" s="20">
        <v>1</v>
      </c>
      <c r="AE20" s="20">
        <v>320</v>
      </c>
      <c r="AF20" s="20">
        <v>320</v>
      </c>
      <c r="AG20" s="18">
        <f t="shared" si="10"/>
        <v>0.94299999999999995</v>
      </c>
      <c r="AH20" s="20">
        <v>0.94299999999999995</v>
      </c>
      <c r="AI20" s="20">
        <v>16</v>
      </c>
      <c r="AJ20" s="20">
        <v>16</v>
      </c>
      <c r="AK20" s="40">
        <f t="shared" si="11"/>
        <v>19.232820512820513</v>
      </c>
      <c r="AL20" s="40">
        <f t="shared" si="12"/>
        <v>19.232820512820513</v>
      </c>
      <c r="AM20" s="37">
        <f t="shared" si="13"/>
        <v>97.5</v>
      </c>
      <c r="AN20" s="40">
        <f t="shared" si="14"/>
        <v>97.5</v>
      </c>
      <c r="AO20" s="38">
        <f t="shared" si="15"/>
        <v>1581.84</v>
      </c>
    </row>
    <row r="21" spans="1:41">
      <c r="A21" s="45" t="s">
        <v>241</v>
      </c>
      <c r="B21" s="20">
        <v>100</v>
      </c>
      <c r="C21" s="20">
        <f t="shared" si="0"/>
        <v>100</v>
      </c>
      <c r="D21" s="20">
        <v>12</v>
      </c>
      <c r="E21" s="20">
        <v>12</v>
      </c>
      <c r="F21" s="20">
        <v>8</v>
      </c>
      <c r="G21" s="20">
        <v>5</v>
      </c>
      <c r="I21" s="20">
        <v>2260</v>
      </c>
      <c r="J21" s="20">
        <f t="shared" si="1"/>
        <v>2256</v>
      </c>
      <c r="K21" s="20">
        <v>3290000</v>
      </c>
      <c r="L21" s="20">
        <v>70.7</v>
      </c>
      <c r="M21" s="20">
        <f t="shared" si="2"/>
        <v>46534.653465346535</v>
      </c>
      <c r="N21" s="20">
        <v>74500</v>
      </c>
      <c r="O21" s="20">
        <f t="shared" si="3"/>
        <v>38.154321018586877</v>
      </c>
      <c r="P21" s="20">
        <v>857000</v>
      </c>
      <c r="Q21" s="20">
        <v>35.799999999999997</v>
      </c>
      <c r="R21" s="20">
        <v>41.3</v>
      </c>
      <c r="S21" s="46">
        <f t="shared" si="4"/>
        <v>23938.54748603352</v>
      </c>
      <c r="T21" s="46">
        <f t="shared" si="5"/>
        <v>20750.605326876514</v>
      </c>
      <c r="U21" s="46">
        <f t="shared" si="6"/>
        <v>20750.605326876514</v>
      </c>
      <c r="V21" s="20">
        <v>37900</v>
      </c>
      <c r="W21" s="20">
        <f t="shared" si="7"/>
        <v>19.473149201477629</v>
      </c>
      <c r="X21" s="20">
        <v>110000</v>
      </c>
      <c r="AB21" s="20">
        <f t="shared" si="8"/>
        <v>88</v>
      </c>
      <c r="AC21" s="20">
        <f t="shared" si="9"/>
        <v>88</v>
      </c>
      <c r="AD21" s="20">
        <v>1</v>
      </c>
      <c r="AE21" s="20">
        <v>300</v>
      </c>
      <c r="AF21" s="20">
        <v>300</v>
      </c>
      <c r="AG21" s="18">
        <f t="shared" si="10"/>
        <v>1</v>
      </c>
      <c r="AH21" s="20">
        <v>1</v>
      </c>
      <c r="AI21" s="20">
        <v>16</v>
      </c>
      <c r="AJ21" s="20">
        <v>16</v>
      </c>
      <c r="AK21" s="40">
        <f t="shared" si="11"/>
        <v>8.7999999999999989</v>
      </c>
      <c r="AL21" s="40">
        <f t="shared" si="12"/>
        <v>8.7999999999999989</v>
      </c>
      <c r="AM21" s="37">
        <f t="shared" si="13"/>
        <v>88</v>
      </c>
      <c r="AN21" s="40">
        <f t="shared" si="14"/>
        <v>88</v>
      </c>
      <c r="AO21" s="38">
        <f t="shared" si="15"/>
        <v>2256</v>
      </c>
    </row>
    <row r="22" spans="1:41">
      <c r="A22" s="45" t="s">
        <v>240</v>
      </c>
      <c r="B22" s="20">
        <v>100</v>
      </c>
      <c r="C22" s="20">
        <f t="shared" si="0"/>
        <v>100</v>
      </c>
      <c r="D22" s="20">
        <v>9.5</v>
      </c>
      <c r="E22" s="20">
        <v>9.5</v>
      </c>
      <c r="F22" s="20">
        <v>8</v>
      </c>
      <c r="G22" s="20">
        <v>5</v>
      </c>
      <c r="I22" s="20">
        <v>1810</v>
      </c>
      <c r="J22" s="20">
        <f t="shared" si="1"/>
        <v>1809.75</v>
      </c>
      <c r="K22" s="20">
        <v>2700000</v>
      </c>
      <c r="L22" s="20">
        <v>70.7</v>
      </c>
      <c r="M22" s="20">
        <f t="shared" si="2"/>
        <v>38189.533239038188</v>
      </c>
      <c r="N22" s="20">
        <v>60400</v>
      </c>
      <c r="O22" s="20">
        <f t="shared" si="3"/>
        <v>38.622696788058704</v>
      </c>
      <c r="P22" s="20">
        <v>695000</v>
      </c>
      <c r="Q22" s="20">
        <v>35.4</v>
      </c>
      <c r="R22" s="20">
        <v>39.9</v>
      </c>
      <c r="S22" s="46">
        <f t="shared" si="4"/>
        <v>19632.768361581922</v>
      </c>
      <c r="T22" s="46">
        <f t="shared" si="5"/>
        <v>17418.546365914786</v>
      </c>
      <c r="U22" s="46">
        <f t="shared" si="6"/>
        <v>17418.546365914786</v>
      </c>
      <c r="V22" s="20">
        <v>30700</v>
      </c>
      <c r="W22" s="20">
        <f t="shared" si="7"/>
        <v>19.59535405529806</v>
      </c>
      <c r="X22" s="20">
        <v>56200</v>
      </c>
      <c r="AB22" s="20">
        <f t="shared" si="8"/>
        <v>90.5</v>
      </c>
      <c r="AC22" s="20">
        <f t="shared" si="9"/>
        <v>90.5</v>
      </c>
      <c r="AD22" s="20">
        <v>1</v>
      </c>
      <c r="AE22" s="20">
        <v>320</v>
      </c>
      <c r="AF22" s="20">
        <v>320</v>
      </c>
      <c r="AG22" s="18">
        <f t="shared" si="10"/>
        <v>1</v>
      </c>
      <c r="AH22" s="20">
        <v>1</v>
      </c>
      <c r="AI22" s="20">
        <v>16</v>
      </c>
      <c r="AJ22" s="20">
        <v>16</v>
      </c>
      <c r="AK22" s="40">
        <f t="shared" si="11"/>
        <v>12.193684210526317</v>
      </c>
      <c r="AL22" s="40">
        <f t="shared" si="12"/>
        <v>12.193684210526317</v>
      </c>
      <c r="AM22" s="37">
        <f t="shared" si="13"/>
        <v>90.5</v>
      </c>
      <c r="AN22" s="40">
        <f t="shared" si="14"/>
        <v>90.5</v>
      </c>
      <c r="AO22" s="38">
        <f t="shared" si="15"/>
        <v>1809.75</v>
      </c>
    </row>
    <row r="23" spans="1:41">
      <c r="A23" s="45" t="s">
        <v>239</v>
      </c>
      <c r="B23" s="20">
        <v>100</v>
      </c>
      <c r="C23" s="20">
        <f t="shared" si="0"/>
        <v>100</v>
      </c>
      <c r="D23" s="20">
        <v>7.8</v>
      </c>
      <c r="E23" s="20">
        <v>7.8</v>
      </c>
      <c r="F23" s="20">
        <v>8</v>
      </c>
      <c r="G23" s="20">
        <v>5</v>
      </c>
      <c r="I23" s="20">
        <v>1500</v>
      </c>
      <c r="J23" s="20">
        <f t="shared" si="1"/>
        <v>1499.1599999999999</v>
      </c>
      <c r="K23" s="20">
        <v>2270000</v>
      </c>
      <c r="L23" s="20">
        <v>70.7</v>
      </c>
      <c r="M23" s="20">
        <f t="shared" si="2"/>
        <v>32107.496463932108</v>
      </c>
      <c r="N23" s="20">
        <v>50300</v>
      </c>
      <c r="O23" s="20">
        <f t="shared" si="3"/>
        <v>38.901585229053758</v>
      </c>
      <c r="P23" s="20">
        <v>582000</v>
      </c>
      <c r="Q23" s="20">
        <v>35.200000000000003</v>
      </c>
      <c r="R23" s="20">
        <v>38.9</v>
      </c>
      <c r="S23" s="46">
        <f t="shared" si="4"/>
        <v>16534.090909090908</v>
      </c>
      <c r="T23" s="46">
        <f t="shared" si="5"/>
        <v>14961.439588688947</v>
      </c>
      <c r="U23" s="46">
        <f t="shared" si="6"/>
        <v>14961.439588688947</v>
      </c>
      <c r="V23" s="20">
        <v>25600</v>
      </c>
      <c r="W23" s="20">
        <f t="shared" si="7"/>
        <v>19.697715603592208</v>
      </c>
      <c r="X23" s="20">
        <v>31700</v>
      </c>
      <c r="AB23" s="20">
        <f t="shared" si="8"/>
        <v>92.2</v>
      </c>
      <c r="AC23" s="20">
        <f t="shared" si="9"/>
        <v>92.2</v>
      </c>
      <c r="AD23" s="20">
        <v>1</v>
      </c>
      <c r="AE23" s="20">
        <v>320</v>
      </c>
      <c r="AF23" s="20">
        <v>320</v>
      </c>
      <c r="AG23" s="18">
        <f t="shared" si="10"/>
        <v>1</v>
      </c>
      <c r="AH23" s="20">
        <v>1</v>
      </c>
      <c r="AI23" s="20">
        <v>16</v>
      </c>
      <c r="AJ23" s="20">
        <v>16</v>
      </c>
      <c r="AK23" s="40">
        <f t="shared" si="11"/>
        <v>15.130256410256411</v>
      </c>
      <c r="AL23" s="40">
        <f t="shared" si="12"/>
        <v>15.130256410256411</v>
      </c>
      <c r="AM23" s="37">
        <f t="shared" si="13"/>
        <v>92.2</v>
      </c>
      <c r="AN23" s="40">
        <f t="shared" si="14"/>
        <v>92.2</v>
      </c>
      <c r="AO23" s="38">
        <f t="shared" si="15"/>
        <v>1499.1599999999999</v>
      </c>
    </row>
    <row r="24" spans="1:41">
      <c r="A24" s="45" t="s">
        <v>238</v>
      </c>
      <c r="B24" s="20">
        <v>100</v>
      </c>
      <c r="C24" s="20">
        <f t="shared" si="0"/>
        <v>100</v>
      </c>
      <c r="D24" s="20">
        <v>6</v>
      </c>
      <c r="E24" s="20">
        <v>6</v>
      </c>
      <c r="F24" s="20">
        <v>8</v>
      </c>
      <c r="G24" s="20">
        <v>5</v>
      </c>
      <c r="I24" s="20">
        <v>1170</v>
      </c>
      <c r="J24" s="20">
        <f t="shared" si="1"/>
        <v>1164</v>
      </c>
      <c r="K24" s="20">
        <v>1780000</v>
      </c>
      <c r="L24" s="20">
        <v>70.7</v>
      </c>
      <c r="M24" s="20">
        <f t="shared" si="2"/>
        <v>25176.803394625174</v>
      </c>
      <c r="N24" s="20">
        <v>39300</v>
      </c>
      <c r="O24" s="20">
        <f t="shared" si="3"/>
        <v>39.004711527808041</v>
      </c>
      <c r="P24" s="20">
        <v>458000</v>
      </c>
      <c r="Q24" s="20">
        <v>35</v>
      </c>
      <c r="R24" s="20">
        <v>37.9</v>
      </c>
      <c r="S24" s="46">
        <f t="shared" si="4"/>
        <v>13085.714285714286</v>
      </c>
      <c r="T24" s="46">
        <f t="shared" si="5"/>
        <v>12084.432717678101</v>
      </c>
      <c r="U24" s="46">
        <f t="shared" si="6"/>
        <v>12084.432717678101</v>
      </c>
      <c r="V24" s="20">
        <v>20000</v>
      </c>
      <c r="W24" s="20">
        <f t="shared" si="7"/>
        <v>19.785170998831205</v>
      </c>
      <c r="X24" s="20">
        <v>14800</v>
      </c>
      <c r="AB24" s="20">
        <f t="shared" si="8"/>
        <v>94</v>
      </c>
      <c r="AC24" s="20">
        <f t="shared" si="9"/>
        <v>94</v>
      </c>
      <c r="AD24" s="20">
        <v>1</v>
      </c>
      <c r="AE24" s="20">
        <v>320</v>
      </c>
      <c r="AF24" s="20">
        <v>320</v>
      </c>
      <c r="AG24" s="18">
        <f t="shared" si="10"/>
        <v>0.90600000000000003</v>
      </c>
      <c r="AH24" s="20">
        <v>0.90600000000000003</v>
      </c>
      <c r="AI24" s="20">
        <v>16</v>
      </c>
      <c r="AJ24" s="20">
        <v>16</v>
      </c>
      <c r="AK24" s="40">
        <f t="shared" si="11"/>
        <v>20.053333333333335</v>
      </c>
      <c r="AL24" s="40">
        <f t="shared" si="12"/>
        <v>20.053333333333335</v>
      </c>
      <c r="AM24" s="37">
        <f t="shared" si="13"/>
        <v>75</v>
      </c>
      <c r="AN24" s="40">
        <f t="shared" si="14"/>
        <v>75</v>
      </c>
      <c r="AO24" s="38">
        <f t="shared" si="15"/>
        <v>936</v>
      </c>
    </row>
    <row r="25" spans="1:41">
      <c r="A25" s="45" t="s">
        <v>237</v>
      </c>
      <c r="B25" s="20">
        <v>90</v>
      </c>
      <c r="C25" s="20">
        <f t="shared" si="0"/>
        <v>90</v>
      </c>
      <c r="D25" s="20">
        <v>9.5</v>
      </c>
      <c r="E25" s="20">
        <v>9.5</v>
      </c>
      <c r="F25" s="20">
        <v>8</v>
      </c>
      <c r="G25" s="20">
        <v>5</v>
      </c>
      <c r="I25" s="20">
        <v>1620</v>
      </c>
      <c r="J25" s="20">
        <f t="shared" si="1"/>
        <v>1619.75</v>
      </c>
      <c r="K25" s="20">
        <v>1930000</v>
      </c>
      <c r="L25" s="20">
        <v>63.6</v>
      </c>
      <c r="M25" s="20">
        <f t="shared" si="2"/>
        <v>30345.911949685535</v>
      </c>
      <c r="N25" s="20">
        <v>48300</v>
      </c>
      <c r="O25" s="20">
        <f t="shared" si="3"/>
        <v>34.516054593353481</v>
      </c>
      <c r="P25" s="20">
        <v>500000</v>
      </c>
      <c r="Q25" s="20">
        <v>31.9</v>
      </c>
      <c r="R25" s="20">
        <v>36.4</v>
      </c>
      <c r="S25" s="46">
        <f t="shared" si="4"/>
        <v>15673.98119122257</v>
      </c>
      <c r="T25" s="46">
        <f t="shared" si="5"/>
        <v>13736.263736263736</v>
      </c>
      <c r="U25" s="46">
        <f t="shared" si="6"/>
        <v>13736.263736263736</v>
      </c>
      <c r="V25" s="20">
        <v>24600</v>
      </c>
      <c r="W25" s="20">
        <f t="shared" si="7"/>
        <v>17.568209223157663</v>
      </c>
      <c r="X25" s="20">
        <v>50500</v>
      </c>
      <c r="AB25" s="20">
        <f t="shared" si="8"/>
        <v>80.5</v>
      </c>
      <c r="AC25" s="20">
        <f t="shared" si="9"/>
        <v>80.5</v>
      </c>
      <c r="AD25" s="20">
        <v>1</v>
      </c>
      <c r="AE25" s="20">
        <v>320</v>
      </c>
      <c r="AF25" s="20">
        <v>320</v>
      </c>
      <c r="AG25" s="18">
        <f t="shared" si="10"/>
        <v>1</v>
      </c>
      <c r="AH25" s="20">
        <v>1</v>
      </c>
      <c r="AI25" s="20">
        <v>16</v>
      </c>
      <c r="AJ25" s="20">
        <v>16</v>
      </c>
      <c r="AK25" s="40">
        <f t="shared" si="11"/>
        <v>10.846315789473683</v>
      </c>
      <c r="AL25" s="40">
        <f t="shared" si="12"/>
        <v>10.846315789473683</v>
      </c>
      <c r="AM25" s="37">
        <f t="shared" si="13"/>
        <v>80.5</v>
      </c>
      <c r="AN25" s="40">
        <f t="shared" si="14"/>
        <v>80.5</v>
      </c>
      <c r="AO25" s="38">
        <f t="shared" si="15"/>
        <v>1619.75</v>
      </c>
    </row>
    <row r="26" spans="1:41">
      <c r="A26" s="45" t="s">
        <v>236</v>
      </c>
      <c r="B26" s="20">
        <v>90</v>
      </c>
      <c r="C26" s="20">
        <f t="shared" si="0"/>
        <v>90</v>
      </c>
      <c r="D26" s="20">
        <v>7.8</v>
      </c>
      <c r="E26" s="20">
        <v>7.8</v>
      </c>
      <c r="F26" s="20">
        <v>8</v>
      </c>
      <c r="G26" s="20">
        <v>5</v>
      </c>
      <c r="I26" s="20">
        <v>1350</v>
      </c>
      <c r="J26" s="20">
        <f t="shared" si="1"/>
        <v>1343.1599999999999</v>
      </c>
      <c r="K26" s="20">
        <v>1630000</v>
      </c>
      <c r="L26" s="20">
        <v>63.6</v>
      </c>
      <c r="M26" s="20">
        <f t="shared" si="2"/>
        <v>25628.930817610064</v>
      </c>
      <c r="N26" s="20">
        <v>40400</v>
      </c>
      <c r="O26" s="20">
        <f t="shared" si="3"/>
        <v>34.747768380248644</v>
      </c>
      <c r="P26" s="20">
        <v>419000</v>
      </c>
      <c r="Q26" s="20">
        <v>31.7</v>
      </c>
      <c r="R26" s="20">
        <v>35.4</v>
      </c>
      <c r="S26" s="46">
        <f t="shared" si="4"/>
        <v>13217.665615141956</v>
      </c>
      <c r="T26" s="46">
        <f t="shared" si="5"/>
        <v>11836.158192090395</v>
      </c>
      <c r="U26" s="46">
        <f t="shared" si="6"/>
        <v>11836.158192090395</v>
      </c>
      <c r="V26" s="20">
        <v>20500</v>
      </c>
      <c r="W26" s="20">
        <f t="shared" si="7"/>
        <v>17.617331533758747</v>
      </c>
      <c r="X26" s="20">
        <v>28600</v>
      </c>
      <c r="AB26" s="20">
        <f t="shared" si="8"/>
        <v>82.2</v>
      </c>
      <c r="AC26" s="20">
        <f t="shared" si="9"/>
        <v>82.2</v>
      </c>
      <c r="AD26" s="20">
        <v>1</v>
      </c>
      <c r="AE26" s="20">
        <v>320</v>
      </c>
      <c r="AF26" s="20">
        <v>320</v>
      </c>
      <c r="AG26" s="18">
        <f t="shared" si="10"/>
        <v>1</v>
      </c>
      <c r="AH26" s="20">
        <v>1</v>
      </c>
      <c r="AI26" s="20">
        <v>16</v>
      </c>
      <c r="AJ26" s="20">
        <v>16</v>
      </c>
      <c r="AK26" s="40">
        <f t="shared" si="11"/>
        <v>13.489230769230769</v>
      </c>
      <c r="AL26" s="40">
        <f t="shared" si="12"/>
        <v>13.489230769230769</v>
      </c>
      <c r="AM26" s="37">
        <f t="shared" si="13"/>
        <v>82.2</v>
      </c>
      <c r="AN26" s="40">
        <f t="shared" si="14"/>
        <v>82.2</v>
      </c>
      <c r="AO26" s="38">
        <f t="shared" si="15"/>
        <v>1343.1599999999999</v>
      </c>
    </row>
    <row r="27" spans="1:41">
      <c r="A27" s="45" t="s">
        <v>235</v>
      </c>
      <c r="B27" s="20">
        <v>90</v>
      </c>
      <c r="C27" s="20">
        <f t="shared" si="0"/>
        <v>90</v>
      </c>
      <c r="D27" s="20">
        <v>6</v>
      </c>
      <c r="E27" s="20">
        <v>6</v>
      </c>
      <c r="F27" s="20">
        <v>8</v>
      </c>
      <c r="G27" s="20">
        <v>5</v>
      </c>
      <c r="I27" s="20">
        <v>1050</v>
      </c>
      <c r="J27" s="20">
        <f t="shared" si="1"/>
        <v>1044</v>
      </c>
      <c r="K27" s="20">
        <v>1280000</v>
      </c>
      <c r="L27" s="20">
        <v>63.6</v>
      </c>
      <c r="M27" s="20">
        <f t="shared" si="2"/>
        <v>20125.786163522011</v>
      </c>
      <c r="N27" s="20">
        <v>31600</v>
      </c>
      <c r="O27" s="20">
        <f t="shared" si="3"/>
        <v>34.914862437758778</v>
      </c>
      <c r="P27" s="20">
        <v>330000</v>
      </c>
      <c r="Q27" s="20">
        <v>31.5</v>
      </c>
      <c r="R27" s="20">
        <v>34.299999999999997</v>
      </c>
      <c r="S27" s="46">
        <f t="shared" si="4"/>
        <v>10476.190476190477</v>
      </c>
      <c r="T27" s="46">
        <f t="shared" si="5"/>
        <v>9620.9912536443153</v>
      </c>
      <c r="U27" s="46">
        <f t="shared" si="6"/>
        <v>9620.9912536443153</v>
      </c>
      <c r="V27" s="20">
        <v>16100</v>
      </c>
      <c r="W27" s="20">
        <f t="shared" si="7"/>
        <v>17.728105208558365</v>
      </c>
      <c r="X27" s="20">
        <v>13400</v>
      </c>
      <c r="AB27" s="20">
        <f t="shared" si="8"/>
        <v>84</v>
      </c>
      <c r="AC27" s="20">
        <f t="shared" si="9"/>
        <v>84</v>
      </c>
      <c r="AD27" s="20">
        <v>1</v>
      </c>
      <c r="AE27" s="20">
        <v>320</v>
      </c>
      <c r="AF27" s="20">
        <v>320</v>
      </c>
      <c r="AG27" s="18">
        <f t="shared" si="10"/>
        <v>1</v>
      </c>
      <c r="AH27" s="20">
        <v>1</v>
      </c>
      <c r="AI27" s="20">
        <v>16</v>
      </c>
      <c r="AJ27" s="20">
        <v>16</v>
      </c>
      <c r="AK27" s="40">
        <f t="shared" si="11"/>
        <v>17.920000000000002</v>
      </c>
      <c r="AL27" s="40">
        <f t="shared" si="12"/>
        <v>17.920000000000002</v>
      </c>
      <c r="AM27" s="37">
        <f t="shared" si="13"/>
        <v>75</v>
      </c>
      <c r="AN27" s="40">
        <f t="shared" si="14"/>
        <v>75</v>
      </c>
      <c r="AO27" s="38">
        <f t="shared" si="15"/>
        <v>936</v>
      </c>
    </row>
    <row r="28" spans="1:41">
      <c r="A28" s="45" t="s">
        <v>234</v>
      </c>
      <c r="B28" s="20">
        <v>75</v>
      </c>
      <c r="C28" s="20">
        <f t="shared" si="0"/>
        <v>75</v>
      </c>
      <c r="D28" s="20">
        <v>9.5</v>
      </c>
      <c r="E28" s="20">
        <v>9.5</v>
      </c>
      <c r="F28" s="20">
        <v>8</v>
      </c>
      <c r="G28" s="20">
        <v>5</v>
      </c>
      <c r="I28" s="20">
        <v>1340</v>
      </c>
      <c r="J28" s="20">
        <f t="shared" si="1"/>
        <v>1334.75</v>
      </c>
      <c r="K28" s="20">
        <v>1080000</v>
      </c>
      <c r="L28" s="20">
        <v>53</v>
      </c>
      <c r="M28" s="20">
        <f t="shared" si="2"/>
        <v>20377.358490566039</v>
      </c>
      <c r="N28" s="20">
        <v>32800</v>
      </c>
      <c r="O28" s="20">
        <f t="shared" si="3"/>
        <v>28.389613404443029</v>
      </c>
      <c r="P28" s="20">
        <v>282000</v>
      </c>
      <c r="Q28" s="20">
        <v>26.6</v>
      </c>
      <c r="R28" s="20">
        <v>31.1</v>
      </c>
      <c r="S28" s="46">
        <f t="shared" si="4"/>
        <v>10601.503759398496</v>
      </c>
      <c r="T28" s="46">
        <f t="shared" si="5"/>
        <v>9067.5241157556266</v>
      </c>
      <c r="U28" s="46">
        <f t="shared" si="6"/>
        <v>9067.5241157556266</v>
      </c>
      <c r="V28" s="20">
        <v>16800</v>
      </c>
      <c r="W28" s="20">
        <f t="shared" si="7"/>
        <v>14.506817748701121</v>
      </c>
      <c r="X28" s="20">
        <v>41900</v>
      </c>
      <c r="AB28" s="20">
        <f t="shared" si="8"/>
        <v>65.5</v>
      </c>
      <c r="AC28" s="20">
        <f t="shared" si="9"/>
        <v>65.5</v>
      </c>
      <c r="AD28" s="20">
        <v>1</v>
      </c>
      <c r="AE28" s="20">
        <v>320</v>
      </c>
      <c r="AF28" s="20">
        <v>320</v>
      </c>
      <c r="AG28" s="18">
        <f t="shared" si="10"/>
        <v>1</v>
      </c>
      <c r="AH28" s="20">
        <v>1</v>
      </c>
      <c r="AI28" s="20">
        <v>16</v>
      </c>
      <c r="AJ28" s="20">
        <v>16</v>
      </c>
      <c r="AK28" s="40">
        <f t="shared" si="11"/>
        <v>8.8252631578947369</v>
      </c>
      <c r="AL28" s="40">
        <f t="shared" si="12"/>
        <v>8.8252631578947369</v>
      </c>
      <c r="AM28" s="37">
        <f t="shared" si="13"/>
        <v>65.5</v>
      </c>
      <c r="AN28" s="40">
        <f t="shared" si="14"/>
        <v>65.5</v>
      </c>
      <c r="AO28" s="38">
        <f t="shared" si="15"/>
        <v>1334.75</v>
      </c>
    </row>
    <row r="29" spans="1:41">
      <c r="A29" s="45" t="s">
        <v>233</v>
      </c>
      <c r="B29" s="20">
        <v>75</v>
      </c>
      <c r="C29" s="20">
        <f t="shared" si="0"/>
        <v>75</v>
      </c>
      <c r="D29" s="20">
        <v>7.8</v>
      </c>
      <c r="E29" s="20">
        <v>7.8</v>
      </c>
      <c r="F29" s="20">
        <v>8</v>
      </c>
      <c r="G29" s="20">
        <v>5</v>
      </c>
      <c r="I29" s="20">
        <v>1110</v>
      </c>
      <c r="J29" s="20">
        <f t="shared" si="1"/>
        <v>1109.1599999999999</v>
      </c>
      <c r="K29" s="20">
        <v>913000</v>
      </c>
      <c r="L29" s="20">
        <v>53</v>
      </c>
      <c r="M29" s="20">
        <f t="shared" si="2"/>
        <v>17226.415094339623</v>
      </c>
      <c r="N29" s="20">
        <v>27500</v>
      </c>
      <c r="O29" s="20">
        <f t="shared" si="3"/>
        <v>28.679653458898741</v>
      </c>
      <c r="P29" s="20">
        <v>237000</v>
      </c>
      <c r="Q29" s="20">
        <v>26.4</v>
      </c>
      <c r="R29" s="20">
        <v>30.1</v>
      </c>
      <c r="S29" s="46">
        <f t="shared" si="4"/>
        <v>8977.2727272727279</v>
      </c>
      <c r="T29" s="46">
        <f t="shared" si="5"/>
        <v>7873.7541528239199</v>
      </c>
      <c r="U29" s="46">
        <f t="shared" si="6"/>
        <v>7873.7541528239199</v>
      </c>
      <c r="V29" s="20">
        <v>14000</v>
      </c>
      <c r="W29" s="20">
        <f t="shared" si="7"/>
        <v>14.612101611798129</v>
      </c>
      <c r="X29" s="20">
        <v>23800</v>
      </c>
      <c r="AB29" s="20">
        <f t="shared" si="8"/>
        <v>67.2</v>
      </c>
      <c r="AC29" s="20">
        <f t="shared" si="9"/>
        <v>67.2</v>
      </c>
      <c r="AD29" s="20">
        <v>1</v>
      </c>
      <c r="AE29" s="20">
        <v>320</v>
      </c>
      <c r="AF29" s="20">
        <v>320</v>
      </c>
      <c r="AG29" s="18">
        <f t="shared" si="10"/>
        <v>1</v>
      </c>
      <c r="AH29" s="20">
        <v>1</v>
      </c>
      <c r="AI29" s="20">
        <v>16</v>
      </c>
      <c r="AJ29" s="20">
        <v>16</v>
      </c>
      <c r="AK29" s="40">
        <f t="shared" si="11"/>
        <v>11.027692307692309</v>
      </c>
      <c r="AL29" s="40">
        <f t="shared" si="12"/>
        <v>11.027692307692309</v>
      </c>
      <c r="AM29" s="37">
        <f t="shared" si="13"/>
        <v>67.2</v>
      </c>
      <c r="AN29" s="40">
        <f t="shared" si="14"/>
        <v>67.2</v>
      </c>
      <c r="AO29" s="38">
        <f t="shared" si="15"/>
        <v>1109.1599999999999</v>
      </c>
    </row>
    <row r="30" spans="1:41">
      <c r="A30" s="45" t="s">
        <v>232</v>
      </c>
      <c r="B30" s="20">
        <v>75</v>
      </c>
      <c r="C30" s="20">
        <f t="shared" si="0"/>
        <v>75</v>
      </c>
      <c r="D30" s="20">
        <v>6</v>
      </c>
      <c r="E30" s="20">
        <v>6</v>
      </c>
      <c r="F30" s="20">
        <v>8</v>
      </c>
      <c r="G30" s="20">
        <v>5</v>
      </c>
      <c r="I30" s="20">
        <v>867</v>
      </c>
      <c r="J30" s="20">
        <f t="shared" si="1"/>
        <v>864</v>
      </c>
      <c r="K30" s="20">
        <v>722000</v>
      </c>
      <c r="L30" s="20">
        <v>53</v>
      </c>
      <c r="M30" s="20">
        <f t="shared" si="2"/>
        <v>13622.641509433963</v>
      </c>
      <c r="N30" s="20">
        <v>21600</v>
      </c>
      <c r="O30" s="20">
        <f t="shared" si="3"/>
        <v>28.857522971741538</v>
      </c>
      <c r="P30" s="20">
        <v>187000</v>
      </c>
      <c r="Q30" s="20">
        <v>26.2</v>
      </c>
      <c r="R30" s="20">
        <v>29</v>
      </c>
      <c r="S30" s="46">
        <f t="shared" si="4"/>
        <v>7137.4045801526718</v>
      </c>
      <c r="T30" s="46">
        <f t="shared" si="5"/>
        <v>6448.2758620689656</v>
      </c>
      <c r="U30" s="46">
        <f t="shared" si="6"/>
        <v>6448.2758620689656</v>
      </c>
      <c r="V30" s="20">
        <v>11000</v>
      </c>
      <c r="W30" s="20">
        <f t="shared" si="7"/>
        <v>14.686261420450199</v>
      </c>
      <c r="X30" s="20">
        <v>11200</v>
      </c>
      <c r="AB30" s="20">
        <f t="shared" si="8"/>
        <v>69</v>
      </c>
      <c r="AC30" s="20">
        <f t="shared" si="9"/>
        <v>69</v>
      </c>
      <c r="AD30" s="20">
        <v>1</v>
      </c>
      <c r="AE30" s="20">
        <v>320</v>
      </c>
      <c r="AF30" s="20">
        <v>320</v>
      </c>
      <c r="AG30" s="18">
        <f t="shared" si="10"/>
        <v>1</v>
      </c>
      <c r="AH30" s="20">
        <v>1</v>
      </c>
      <c r="AI30" s="20">
        <v>16</v>
      </c>
      <c r="AJ30" s="20">
        <v>16</v>
      </c>
      <c r="AK30" s="40">
        <f t="shared" si="11"/>
        <v>14.72</v>
      </c>
      <c r="AL30" s="40">
        <f t="shared" si="12"/>
        <v>14.72</v>
      </c>
      <c r="AM30" s="37">
        <f t="shared" si="13"/>
        <v>69</v>
      </c>
      <c r="AN30" s="40">
        <f t="shared" si="14"/>
        <v>69</v>
      </c>
      <c r="AO30" s="38">
        <f t="shared" si="15"/>
        <v>864</v>
      </c>
    </row>
    <row r="31" spans="1:41">
      <c r="A31" s="45" t="s">
        <v>231</v>
      </c>
      <c r="B31" s="20">
        <v>75</v>
      </c>
      <c r="C31" s="20">
        <f t="shared" si="0"/>
        <v>75</v>
      </c>
      <c r="D31" s="20">
        <v>4.5999999999999996</v>
      </c>
      <c r="E31" s="20">
        <v>4.5999999999999996</v>
      </c>
      <c r="F31" s="20">
        <v>8</v>
      </c>
      <c r="G31" s="20">
        <v>5</v>
      </c>
      <c r="I31" s="20">
        <v>672</v>
      </c>
      <c r="J31" s="20">
        <f t="shared" si="1"/>
        <v>668.83999999999992</v>
      </c>
      <c r="K31" s="20">
        <v>563000</v>
      </c>
      <c r="L31" s="20">
        <v>53</v>
      </c>
      <c r="M31" s="20">
        <f t="shared" si="2"/>
        <v>10622.641509433963</v>
      </c>
      <c r="N31" s="20">
        <v>16700</v>
      </c>
      <c r="O31" s="20">
        <f t="shared" si="3"/>
        <v>28.944733874188913</v>
      </c>
      <c r="P31" s="20">
        <v>147000</v>
      </c>
      <c r="Q31" s="20">
        <v>26.1</v>
      </c>
      <c r="R31" s="20">
        <v>28.1</v>
      </c>
      <c r="S31" s="46">
        <f t="shared" si="4"/>
        <v>5632.1839080459768</v>
      </c>
      <c r="T31" s="46">
        <f t="shared" si="5"/>
        <v>5231.3167259786478</v>
      </c>
      <c r="U31" s="46">
        <f t="shared" si="6"/>
        <v>5231.3167259786478</v>
      </c>
      <c r="V31" s="20">
        <v>8610</v>
      </c>
      <c r="W31" s="20">
        <f t="shared" si="7"/>
        <v>14.79019945774904</v>
      </c>
      <c r="X31" s="20">
        <v>5280</v>
      </c>
      <c r="AB31" s="20">
        <f t="shared" si="8"/>
        <v>70.400000000000006</v>
      </c>
      <c r="AC31" s="20">
        <f t="shared" si="9"/>
        <v>70.400000000000006</v>
      </c>
      <c r="AD31" s="20">
        <v>1</v>
      </c>
      <c r="AE31" s="20">
        <v>320</v>
      </c>
      <c r="AF31" s="20">
        <v>320</v>
      </c>
      <c r="AG31" s="18">
        <f t="shared" si="10"/>
        <v>0.92700000000000005</v>
      </c>
      <c r="AH31" s="20">
        <v>0.92700000000000005</v>
      </c>
      <c r="AI31" s="20">
        <v>16</v>
      </c>
      <c r="AJ31" s="20">
        <v>16</v>
      </c>
      <c r="AK31" s="40">
        <f t="shared" si="11"/>
        <v>19.589565217391307</v>
      </c>
      <c r="AL31" s="40">
        <f t="shared" si="12"/>
        <v>19.589565217391307</v>
      </c>
      <c r="AM31" s="37">
        <f t="shared" si="13"/>
        <v>57.5</v>
      </c>
      <c r="AN31" s="40">
        <f t="shared" si="14"/>
        <v>57.5</v>
      </c>
      <c r="AO31" s="38">
        <f t="shared" si="15"/>
        <v>550.16</v>
      </c>
    </row>
    <row r="32" spans="1:41">
      <c r="A32" s="45" t="s">
        <v>230</v>
      </c>
      <c r="B32" s="20">
        <v>65</v>
      </c>
      <c r="C32" s="20">
        <f t="shared" si="0"/>
        <v>65</v>
      </c>
      <c r="D32" s="20">
        <v>9.5</v>
      </c>
      <c r="E32" s="20">
        <v>9.5</v>
      </c>
      <c r="F32" s="20">
        <v>6</v>
      </c>
      <c r="G32" s="20">
        <v>3</v>
      </c>
      <c r="I32" s="20">
        <v>1150</v>
      </c>
      <c r="J32" s="20">
        <f t="shared" si="1"/>
        <v>1144.75</v>
      </c>
      <c r="K32" s="20">
        <v>691000</v>
      </c>
      <c r="L32" s="20">
        <v>46</v>
      </c>
      <c r="M32" s="20">
        <f t="shared" si="2"/>
        <v>15021.739130434782</v>
      </c>
      <c r="N32" s="20">
        <v>24300</v>
      </c>
      <c r="O32" s="20">
        <f t="shared" si="3"/>
        <v>24.512640927027658</v>
      </c>
      <c r="P32" s="20">
        <v>183000</v>
      </c>
      <c r="Q32" s="20">
        <v>23.7</v>
      </c>
      <c r="R32" s="20">
        <v>27.7</v>
      </c>
      <c r="S32" s="46">
        <f t="shared" si="4"/>
        <v>7721.5189873417721</v>
      </c>
      <c r="T32" s="46">
        <f t="shared" si="5"/>
        <v>6606.4981949458488</v>
      </c>
      <c r="U32" s="46">
        <f t="shared" si="6"/>
        <v>6606.4981949458488</v>
      </c>
      <c r="V32" s="20">
        <v>12500</v>
      </c>
      <c r="W32" s="20">
        <f t="shared" si="7"/>
        <v>12.614691228191386</v>
      </c>
      <c r="X32" s="20">
        <v>35100</v>
      </c>
      <c r="AB32" s="20">
        <f t="shared" si="8"/>
        <v>55.5</v>
      </c>
      <c r="AC32" s="20">
        <f t="shared" si="9"/>
        <v>55.5</v>
      </c>
      <c r="AD32" s="20">
        <v>1</v>
      </c>
      <c r="AE32" s="20">
        <v>320</v>
      </c>
      <c r="AF32" s="20">
        <v>320</v>
      </c>
      <c r="AG32" s="18">
        <f t="shared" si="10"/>
        <v>1</v>
      </c>
      <c r="AH32" s="20">
        <v>1</v>
      </c>
      <c r="AI32" s="20">
        <v>16</v>
      </c>
      <c r="AJ32" s="20">
        <v>16</v>
      </c>
      <c r="AK32" s="40">
        <f t="shared" si="11"/>
        <v>7.4778947368421056</v>
      </c>
      <c r="AL32" s="40">
        <f t="shared" si="12"/>
        <v>7.4778947368421056</v>
      </c>
      <c r="AM32" s="37">
        <f t="shared" si="13"/>
        <v>55.5</v>
      </c>
      <c r="AN32" s="40">
        <f t="shared" si="14"/>
        <v>55.5</v>
      </c>
      <c r="AO32" s="38">
        <f t="shared" si="15"/>
        <v>1144.75</v>
      </c>
    </row>
    <row r="33" spans="1:41">
      <c r="A33" s="45" t="s">
        <v>229</v>
      </c>
      <c r="B33" s="20">
        <v>65</v>
      </c>
      <c r="C33" s="20">
        <f t="shared" si="0"/>
        <v>65</v>
      </c>
      <c r="D33" s="20">
        <v>7.8</v>
      </c>
      <c r="E33" s="20">
        <v>7.8</v>
      </c>
      <c r="F33" s="20">
        <v>6</v>
      </c>
      <c r="G33" s="20">
        <v>3</v>
      </c>
      <c r="I33" s="20">
        <v>957</v>
      </c>
      <c r="J33" s="20">
        <f t="shared" si="1"/>
        <v>953.16000000000008</v>
      </c>
      <c r="K33" s="20">
        <v>589000</v>
      </c>
      <c r="L33" s="20">
        <v>46</v>
      </c>
      <c r="M33" s="20">
        <f t="shared" si="2"/>
        <v>12804.347826086956</v>
      </c>
      <c r="N33" s="20">
        <v>20500</v>
      </c>
      <c r="O33" s="20">
        <f t="shared" si="3"/>
        <v>24.808566963356419</v>
      </c>
      <c r="P33" s="20">
        <v>154000</v>
      </c>
      <c r="Q33" s="20">
        <v>23.4</v>
      </c>
      <c r="R33" s="20">
        <v>26.8</v>
      </c>
      <c r="S33" s="46">
        <f t="shared" si="4"/>
        <v>6581.196581196582</v>
      </c>
      <c r="T33" s="46">
        <f t="shared" si="5"/>
        <v>5746.2686567164174</v>
      </c>
      <c r="U33" s="46">
        <f t="shared" si="6"/>
        <v>5746.2686567164174</v>
      </c>
      <c r="V33" s="20">
        <v>10500</v>
      </c>
      <c r="W33" s="20">
        <f t="shared" si="7"/>
        <v>12.685406585123122</v>
      </c>
      <c r="X33" s="20">
        <v>20000</v>
      </c>
      <c r="AB33" s="20">
        <f t="shared" si="8"/>
        <v>57.2</v>
      </c>
      <c r="AC33" s="20">
        <f t="shared" si="9"/>
        <v>57.2</v>
      </c>
      <c r="AD33" s="20">
        <v>1</v>
      </c>
      <c r="AE33" s="20">
        <v>320</v>
      </c>
      <c r="AF33" s="20">
        <v>320</v>
      </c>
      <c r="AG33" s="18">
        <f t="shared" si="10"/>
        <v>1</v>
      </c>
      <c r="AH33" s="20">
        <v>1</v>
      </c>
      <c r="AI33" s="20">
        <v>16</v>
      </c>
      <c r="AJ33" s="20">
        <v>16</v>
      </c>
      <c r="AK33" s="40">
        <f t="shared" si="11"/>
        <v>9.3866666666666685</v>
      </c>
      <c r="AL33" s="40">
        <f t="shared" si="12"/>
        <v>9.3866666666666685</v>
      </c>
      <c r="AM33" s="37">
        <f t="shared" si="13"/>
        <v>57.2</v>
      </c>
      <c r="AN33" s="40">
        <f t="shared" si="14"/>
        <v>57.2</v>
      </c>
      <c r="AO33" s="38">
        <f t="shared" si="15"/>
        <v>953.16000000000008</v>
      </c>
    </row>
    <row r="34" spans="1:41">
      <c r="A34" s="45" t="s">
        <v>228</v>
      </c>
      <c r="B34" s="20">
        <v>65</v>
      </c>
      <c r="C34" s="20">
        <f t="shared" si="0"/>
        <v>65</v>
      </c>
      <c r="D34" s="20">
        <v>6</v>
      </c>
      <c r="E34" s="20">
        <v>6</v>
      </c>
      <c r="F34" s="20">
        <v>6</v>
      </c>
      <c r="G34" s="20">
        <v>3</v>
      </c>
      <c r="I34" s="20">
        <v>748</v>
      </c>
      <c r="J34" s="20">
        <f t="shared" si="1"/>
        <v>744</v>
      </c>
      <c r="K34" s="20">
        <v>471000</v>
      </c>
      <c r="L34" s="20">
        <v>46</v>
      </c>
      <c r="M34" s="20">
        <f t="shared" si="2"/>
        <v>10239.130434782608</v>
      </c>
      <c r="N34" s="20">
        <v>16200</v>
      </c>
      <c r="O34" s="20">
        <f t="shared" si="3"/>
        <v>25.093408385172125</v>
      </c>
      <c r="P34" s="20">
        <v>122000</v>
      </c>
      <c r="Q34" s="20">
        <v>23.1</v>
      </c>
      <c r="R34" s="20">
        <v>25.8</v>
      </c>
      <c r="S34" s="46">
        <f t="shared" si="4"/>
        <v>5281.3852813852809</v>
      </c>
      <c r="T34" s="46">
        <f t="shared" si="5"/>
        <v>4728.6821705426355</v>
      </c>
      <c r="U34" s="46">
        <f t="shared" si="6"/>
        <v>4728.6821705426355</v>
      </c>
      <c r="V34" s="20">
        <v>8250</v>
      </c>
      <c r="W34" s="20">
        <f t="shared" si="7"/>
        <v>12.771123845538217</v>
      </c>
      <c r="X34" s="20">
        <v>9370</v>
      </c>
      <c r="AB34" s="20">
        <f t="shared" si="8"/>
        <v>59</v>
      </c>
      <c r="AC34" s="20">
        <f t="shared" si="9"/>
        <v>59</v>
      </c>
      <c r="AD34" s="20">
        <v>1</v>
      </c>
      <c r="AE34" s="20">
        <v>320</v>
      </c>
      <c r="AF34" s="20">
        <v>320</v>
      </c>
      <c r="AG34" s="18">
        <f t="shared" si="10"/>
        <v>1</v>
      </c>
      <c r="AH34" s="20">
        <v>1</v>
      </c>
      <c r="AI34" s="20">
        <v>16</v>
      </c>
      <c r="AJ34" s="20">
        <v>16</v>
      </c>
      <c r="AK34" s="40">
        <f t="shared" si="11"/>
        <v>12.586666666666668</v>
      </c>
      <c r="AL34" s="40">
        <f t="shared" si="12"/>
        <v>12.586666666666668</v>
      </c>
      <c r="AM34" s="37">
        <f t="shared" si="13"/>
        <v>59</v>
      </c>
      <c r="AN34" s="40">
        <f t="shared" si="14"/>
        <v>59</v>
      </c>
      <c r="AO34" s="38">
        <f t="shared" si="15"/>
        <v>744</v>
      </c>
    </row>
    <row r="35" spans="1:41">
      <c r="A35" s="45" t="s">
        <v>227</v>
      </c>
      <c r="B35" s="20">
        <v>65</v>
      </c>
      <c r="C35" s="20">
        <f t="shared" si="0"/>
        <v>65</v>
      </c>
      <c r="D35" s="20">
        <v>4.5999999999999996</v>
      </c>
      <c r="E35" s="20">
        <v>4.5999999999999996</v>
      </c>
      <c r="F35" s="20">
        <v>6</v>
      </c>
      <c r="G35" s="20">
        <v>3</v>
      </c>
      <c r="I35" s="20">
        <v>581</v>
      </c>
      <c r="J35" s="20">
        <f t="shared" si="1"/>
        <v>576.83999999999992</v>
      </c>
      <c r="K35" s="20">
        <v>371000</v>
      </c>
      <c r="L35" s="20">
        <v>46</v>
      </c>
      <c r="M35" s="20">
        <f t="shared" si="2"/>
        <v>8065.217391304348</v>
      </c>
      <c r="N35" s="20">
        <v>12700</v>
      </c>
      <c r="O35" s="20">
        <f t="shared" si="3"/>
        <v>25.269630327083732</v>
      </c>
      <c r="P35" s="20">
        <v>95900</v>
      </c>
      <c r="Q35" s="20">
        <v>23</v>
      </c>
      <c r="R35" s="20">
        <v>25</v>
      </c>
      <c r="S35" s="46">
        <f t="shared" si="4"/>
        <v>4169.565217391304</v>
      </c>
      <c r="T35" s="46">
        <f t="shared" si="5"/>
        <v>3836</v>
      </c>
      <c r="U35" s="46">
        <f t="shared" si="6"/>
        <v>3836</v>
      </c>
      <c r="V35" s="20">
        <v>6460</v>
      </c>
      <c r="W35" s="20">
        <f t="shared" si="7"/>
        <v>12.847577241015344</v>
      </c>
      <c r="X35" s="20">
        <v>4360</v>
      </c>
      <c r="AB35" s="20">
        <f t="shared" si="8"/>
        <v>60.4</v>
      </c>
      <c r="AC35" s="20">
        <f t="shared" si="9"/>
        <v>60.4</v>
      </c>
      <c r="AD35" s="20">
        <v>1</v>
      </c>
      <c r="AE35" s="20">
        <v>320</v>
      </c>
      <c r="AF35" s="20">
        <v>320</v>
      </c>
      <c r="AG35" s="18">
        <f t="shared" si="10"/>
        <v>1</v>
      </c>
      <c r="AH35" s="20">
        <v>1</v>
      </c>
      <c r="AI35" s="20">
        <v>16</v>
      </c>
      <c r="AJ35" s="20">
        <v>16</v>
      </c>
      <c r="AK35" s="40">
        <f t="shared" si="11"/>
        <v>16.806956521739131</v>
      </c>
      <c r="AL35" s="40">
        <f t="shared" si="12"/>
        <v>16.806956521739131</v>
      </c>
      <c r="AM35" s="37">
        <f t="shared" si="13"/>
        <v>57.499999999999993</v>
      </c>
      <c r="AN35" s="40">
        <f t="shared" si="14"/>
        <v>57.499999999999993</v>
      </c>
      <c r="AO35" s="38">
        <f t="shared" si="15"/>
        <v>550.15999999999985</v>
      </c>
    </row>
    <row r="36" spans="1:41">
      <c r="A36" s="45" t="s">
        <v>226</v>
      </c>
      <c r="B36" s="20">
        <v>55</v>
      </c>
      <c r="C36" s="20">
        <f t="shared" si="0"/>
        <v>55</v>
      </c>
      <c r="D36" s="20">
        <v>6</v>
      </c>
      <c r="E36" s="20">
        <v>6</v>
      </c>
      <c r="F36" s="20">
        <v>6</v>
      </c>
      <c r="G36" s="20">
        <v>3</v>
      </c>
      <c r="I36" s="20">
        <v>628</v>
      </c>
      <c r="J36" s="20">
        <f t="shared" si="1"/>
        <v>624</v>
      </c>
      <c r="K36" s="20">
        <v>278000</v>
      </c>
      <c r="L36" s="20">
        <v>38.9</v>
      </c>
      <c r="M36" s="20">
        <f t="shared" si="2"/>
        <v>7146.5295629820057</v>
      </c>
      <c r="N36" s="20">
        <v>11400</v>
      </c>
      <c r="O36" s="20">
        <f t="shared" si="3"/>
        <v>21.039846939454403</v>
      </c>
      <c r="P36" s="20">
        <v>72300</v>
      </c>
      <c r="Q36" s="20">
        <v>19.600000000000001</v>
      </c>
      <c r="R36" s="20">
        <v>22.3</v>
      </c>
      <c r="S36" s="46">
        <f t="shared" si="4"/>
        <v>3688.7755102040815</v>
      </c>
      <c r="T36" s="46">
        <f t="shared" si="5"/>
        <v>3242.1524663677128</v>
      </c>
      <c r="U36" s="46">
        <f t="shared" si="6"/>
        <v>3242.1524663677128</v>
      </c>
      <c r="V36" s="20">
        <v>5820</v>
      </c>
      <c r="W36" s="20">
        <f t="shared" si="7"/>
        <v>10.729743171904527</v>
      </c>
      <c r="X36" s="20">
        <v>7930</v>
      </c>
      <c r="AB36" s="20">
        <f t="shared" si="8"/>
        <v>49</v>
      </c>
      <c r="AC36" s="20">
        <f t="shared" si="9"/>
        <v>49</v>
      </c>
      <c r="AD36" s="20">
        <v>1</v>
      </c>
      <c r="AE36" s="20">
        <v>320</v>
      </c>
      <c r="AF36" s="20">
        <v>320</v>
      </c>
      <c r="AG36" s="18">
        <f t="shared" si="10"/>
        <v>1</v>
      </c>
      <c r="AH36" s="20">
        <v>1</v>
      </c>
      <c r="AI36" s="20">
        <v>16</v>
      </c>
      <c r="AJ36" s="20">
        <v>16</v>
      </c>
      <c r="AK36" s="40">
        <f t="shared" si="11"/>
        <v>10.453333333333333</v>
      </c>
      <c r="AL36" s="40">
        <f t="shared" si="12"/>
        <v>10.453333333333333</v>
      </c>
      <c r="AM36" s="37">
        <f t="shared" si="13"/>
        <v>49</v>
      </c>
      <c r="AN36" s="40">
        <f t="shared" si="14"/>
        <v>49</v>
      </c>
      <c r="AO36" s="38">
        <f t="shared" si="15"/>
        <v>624</v>
      </c>
    </row>
    <row r="37" spans="1:41">
      <c r="A37" s="45" t="s">
        <v>225</v>
      </c>
      <c r="B37" s="20">
        <v>55</v>
      </c>
      <c r="C37" s="20">
        <f t="shared" si="0"/>
        <v>55</v>
      </c>
      <c r="D37" s="20">
        <v>4.5999999999999996</v>
      </c>
      <c r="E37" s="20">
        <v>4.5999999999999996</v>
      </c>
      <c r="F37" s="20">
        <v>6</v>
      </c>
      <c r="G37" s="20">
        <v>3</v>
      </c>
      <c r="I37" s="20">
        <v>489</v>
      </c>
      <c r="J37" s="20">
        <f t="shared" si="1"/>
        <v>484.83999999999992</v>
      </c>
      <c r="K37" s="20">
        <v>220000</v>
      </c>
      <c r="L37" s="20">
        <v>38.9</v>
      </c>
      <c r="M37" s="20">
        <f t="shared" si="2"/>
        <v>5655.5269922879179</v>
      </c>
      <c r="N37" s="20">
        <v>8930</v>
      </c>
      <c r="O37" s="20">
        <f t="shared" si="3"/>
        <v>21.210793255115366</v>
      </c>
      <c r="P37" s="20">
        <v>57100</v>
      </c>
      <c r="Q37" s="20">
        <v>19.399999999999999</v>
      </c>
      <c r="R37" s="20">
        <v>21.5</v>
      </c>
      <c r="S37" s="46">
        <f t="shared" si="4"/>
        <v>2943.2989690721652</v>
      </c>
      <c r="T37" s="46">
        <f t="shared" si="5"/>
        <v>2655.8139534883721</v>
      </c>
      <c r="U37" s="46">
        <f t="shared" si="6"/>
        <v>2655.8139534883721</v>
      </c>
      <c r="V37" s="20">
        <v>4570</v>
      </c>
      <c r="W37" s="20">
        <f t="shared" si="7"/>
        <v>10.805966692314909</v>
      </c>
      <c r="X37" s="20">
        <v>3710</v>
      </c>
      <c r="AB37" s="20">
        <f t="shared" si="8"/>
        <v>50.4</v>
      </c>
      <c r="AC37" s="20">
        <f t="shared" si="9"/>
        <v>50.4</v>
      </c>
      <c r="AD37" s="20">
        <v>1</v>
      </c>
      <c r="AE37" s="20">
        <v>320</v>
      </c>
      <c r="AF37" s="20">
        <v>320</v>
      </c>
      <c r="AG37" s="18">
        <f t="shared" si="10"/>
        <v>1</v>
      </c>
      <c r="AH37" s="20">
        <v>1</v>
      </c>
      <c r="AI37" s="20">
        <v>16</v>
      </c>
      <c r="AJ37" s="20">
        <v>16</v>
      </c>
      <c r="AK37" s="40">
        <f t="shared" si="11"/>
        <v>14.024347826086958</v>
      </c>
      <c r="AL37" s="40">
        <f t="shared" si="12"/>
        <v>14.024347826086958</v>
      </c>
      <c r="AM37" s="37">
        <f t="shared" si="13"/>
        <v>50.4</v>
      </c>
      <c r="AN37" s="40">
        <f t="shared" si="14"/>
        <v>50.4</v>
      </c>
      <c r="AO37" s="38">
        <f t="shared" si="15"/>
        <v>484.83999999999992</v>
      </c>
    </row>
    <row r="38" spans="1:41">
      <c r="A38" s="45" t="s">
        <v>224</v>
      </c>
      <c r="B38" s="20">
        <v>50</v>
      </c>
      <c r="C38" s="20">
        <f t="shared" si="0"/>
        <v>50</v>
      </c>
      <c r="D38" s="20">
        <v>7.8</v>
      </c>
      <c r="E38" s="20">
        <v>7.8</v>
      </c>
      <c r="F38" s="20">
        <v>6</v>
      </c>
      <c r="G38" s="20">
        <v>3</v>
      </c>
      <c r="I38" s="20">
        <v>723</v>
      </c>
      <c r="J38" s="20">
        <f t="shared" si="1"/>
        <v>719.16000000000008</v>
      </c>
      <c r="K38" s="20">
        <v>253000</v>
      </c>
      <c r="L38" s="20">
        <v>35.4</v>
      </c>
      <c r="M38" s="20">
        <f t="shared" si="2"/>
        <v>7146.8926553672318</v>
      </c>
      <c r="N38" s="20">
        <v>11700</v>
      </c>
      <c r="O38" s="20">
        <f t="shared" si="3"/>
        <v>18.706438562879288</v>
      </c>
      <c r="P38" s="20">
        <v>67500</v>
      </c>
      <c r="Q38" s="20">
        <v>18.100000000000001</v>
      </c>
      <c r="R38" s="20">
        <v>21.5</v>
      </c>
      <c r="S38" s="46">
        <f t="shared" si="4"/>
        <v>3729.2817679558007</v>
      </c>
      <c r="T38" s="46">
        <f t="shared" si="5"/>
        <v>3139.5348837209303</v>
      </c>
      <c r="U38" s="46">
        <f t="shared" si="6"/>
        <v>3139.5348837209303</v>
      </c>
      <c r="V38" s="20">
        <v>6000</v>
      </c>
      <c r="W38" s="20">
        <f t="shared" si="7"/>
        <v>9.6623493960124627</v>
      </c>
      <c r="X38" s="20">
        <v>15200</v>
      </c>
      <c r="AB38" s="20">
        <f t="shared" si="8"/>
        <v>42.2</v>
      </c>
      <c r="AC38" s="20">
        <f t="shared" si="9"/>
        <v>42.2</v>
      </c>
      <c r="AD38" s="20">
        <v>1</v>
      </c>
      <c r="AE38" s="20">
        <v>320</v>
      </c>
      <c r="AF38" s="20">
        <v>320</v>
      </c>
      <c r="AG38" s="18">
        <f t="shared" si="10"/>
        <v>1</v>
      </c>
      <c r="AH38" s="20">
        <v>1</v>
      </c>
      <c r="AI38" s="20">
        <v>16</v>
      </c>
      <c r="AJ38" s="20">
        <v>16</v>
      </c>
      <c r="AK38" s="40">
        <f t="shared" si="11"/>
        <v>6.9251282051282059</v>
      </c>
      <c r="AL38" s="40">
        <f t="shared" si="12"/>
        <v>6.9251282051282059</v>
      </c>
      <c r="AM38" s="37">
        <f t="shared" si="13"/>
        <v>42.2</v>
      </c>
      <c r="AN38" s="40">
        <f t="shared" si="14"/>
        <v>42.2</v>
      </c>
      <c r="AO38" s="38">
        <f t="shared" si="15"/>
        <v>719.16000000000008</v>
      </c>
    </row>
    <row r="39" spans="1:41">
      <c r="A39" s="45" t="s">
        <v>223</v>
      </c>
      <c r="B39" s="20">
        <v>50</v>
      </c>
      <c r="C39" s="20">
        <f t="shared" si="0"/>
        <v>50</v>
      </c>
      <c r="D39" s="20">
        <v>6</v>
      </c>
      <c r="E39" s="20">
        <v>6</v>
      </c>
      <c r="F39" s="20">
        <v>6</v>
      </c>
      <c r="G39" s="20">
        <v>3</v>
      </c>
      <c r="I39" s="20">
        <v>568</v>
      </c>
      <c r="J39" s="20">
        <f t="shared" si="1"/>
        <v>564</v>
      </c>
      <c r="K39" s="20">
        <v>205000</v>
      </c>
      <c r="L39" s="20">
        <v>35.4</v>
      </c>
      <c r="M39" s="20">
        <f t="shared" si="2"/>
        <v>5790.9604519774011</v>
      </c>
      <c r="N39" s="20">
        <v>9300</v>
      </c>
      <c r="O39" s="20">
        <f t="shared" si="3"/>
        <v>18.997776000304523</v>
      </c>
      <c r="P39" s="20">
        <v>53600</v>
      </c>
      <c r="Q39" s="20">
        <v>17.8</v>
      </c>
      <c r="R39" s="20">
        <v>20.5</v>
      </c>
      <c r="S39" s="46">
        <f t="shared" si="4"/>
        <v>3011.2359550561796</v>
      </c>
      <c r="T39" s="46">
        <f t="shared" si="5"/>
        <v>2614.6341463414633</v>
      </c>
      <c r="U39" s="46">
        <f t="shared" si="6"/>
        <v>2614.6341463414633</v>
      </c>
      <c r="V39" s="20">
        <v>4760</v>
      </c>
      <c r="W39" s="20">
        <f t="shared" si="7"/>
        <v>9.714226535504439</v>
      </c>
      <c r="X39" s="20">
        <v>7210</v>
      </c>
      <c r="AB39" s="20">
        <f t="shared" si="8"/>
        <v>44</v>
      </c>
      <c r="AC39" s="20">
        <f t="shared" si="9"/>
        <v>44</v>
      </c>
      <c r="AD39" s="20">
        <v>1</v>
      </c>
      <c r="AE39" s="20">
        <v>320</v>
      </c>
      <c r="AF39" s="20">
        <v>320</v>
      </c>
      <c r="AG39" s="18">
        <f t="shared" si="10"/>
        <v>1</v>
      </c>
      <c r="AH39" s="20">
        <v>1</v>
      </c>
      <c r="AI39" s="20">
        <v>16</v>
      </c>
      <c r="AJ39" s="20">
        <v>16</v>
      </c>
      <c r="AK39" s="40">
        <f t="shared" si="11"/>
        <v>9.3866666666666667</v>
      </c>
      <c r="AL39" s="40">
        <f t="shared" si="12"/>
        <v>9.3866666666666667</v>
      </c>
      <c r="AM39" s="37">
        <f t="shared" si="13"/>
        <v>44</v>
      </c>
      <c r="AN39" s="40">
        <f t="shared" si="14"/>
        <v>44</v>
      </c>
      <c r="AO39" s="38">
        <f t="shared" si="15"/>
        <v>564</v>
      </c>
    </row>
    <row r="40" spans="1:41">
      <c r="A40" s="45" t="s">
        <v>222</v>
      </c>
      <c r="B40" s="20">
        <v>50</v>
      </c>
      <c r="C40" s="20">
        <f t="shared" si="0"/>
        <v>50</v>
      </c>
      <c r="D40" s="20">
        <v>4.5999999999999996</v>
      </c>
      <c r="E40" s="20">
        <v>4.5999999999999996</v>
      </c>
      <c r="F40" s="20">
        <v>6</v>
      </c>
      <c r="G40" s="20">
        <v>3</v>
      </c>
      <c r="I40" s="20">
        <v>443</v>
      </c>
      <c r="J40" s="20">
        <f t="shared" si="1"/>
        <v>438.83999999999992</v>
      </c>
      <c r="K40" s="20">
        <v>163000</v>
      </c>
      <c r="L40" s="20">
        <v>35.4</v>
      </c>
      <c r="M40" s="20">
        <f t="shared" si="2"/>
        <v>4604.5197740112999</v>
      </c>
      <c r="N40" s="20">
        <v>7320</v>
      </c>
      <c r="O40" s="20">
        <f t="shared" si="3"/>
        <v>19.181913979782237</v>
      </c>
      <c r="P40" s="20">
        <v>42400</v>
      </c>
      <c r="Q40" s="20">
        <v>17.600000000000001</v>
      </c>
      <c r="R40" s="20">
        <v>19.7</v>
      </c>
      <c r="S40" s="46">
        <f t="shared" si="4"/>
        <v>2409.090909090909</v>
      </c>
      <c r="T40" s="46">
        <f t="shared" si="5"/>
        <v>2152.284263959391</v>
      </c>
      <c r="U40" s="46">
        <f t="shared" si="6"/>
        <v>2152.284263959391</v>
      </c>
      <c r="V40" s="20">
        <v>3750</v>
      </c>
      <c r="W40" s="20">
        <f t="shared" si="7"/>
        <v>9.7832030004534438</v>
      </c>
      <c r="X40" s="20">
        <v>3380</v>
      </c>
      <c r="AB40" s="20">
        <f t="shared" si="8"/>
        <v>45.4</v>
      </c>
      <c r="AC40" s="20">
        <f t="shared" si="9"/>
        <v>45.4</v>
      </c>
      <c r="AD40" s="20">
        <v>1</v>
      </c>
      <c r="AE40" s="20">
        <v>320</v>
      </c>
      <c r="AF40" s="20">
        <v>320</v>
      </c>
      <c r="AG40" s="18">
        <f t="shared" si="10"/>
        <v>1</v>
      </c>
      <c r="AH40" s="20">
        <v>1</v>
      </c>
      <c r="AI40" s="20">
        <v>16</v>
      </c>
      <c r="AJ40" s="20">
        <v>16</v>
      </c>
      <c r="AK40" s="40">
        <f t="shared" si="11"/>
        <v>12.63304347826087</v>
      </c>
      <c r="AL40" s="40">
        <f t="shared" si="12"/>
        <v>12.63304347826087</v>
      </c>
      <c r="AM40" s="37">
        <f t="shared" si="13"/>
        <v>45.4</v>
      </c>
      <c r="AN40" s="40">
        <f t="shared" si="14"/>
        <v>45.4</v>
      </c>
      <c r="AO40" s="38">
        <f t="shared" si="15"/>
        <v>438.83999999999992</v>
      </c>
    </row>
    <row r="41" spans="1:41">
      <c r="A41" s="45" t="s">
        <v>221</v>
      </c>
      <c r="B41" s="20">
        <v>50</v>
      </c>
      <c r="C41" s="20">
        <f t="shared" si="0"/>
        <v>50</v>
      </c>
      <c r="D41" s="20">
        <v>3</v>
      </c>
      <c r="E41" s="20">
        <v>3</v>
      </c>
      <c r="F41" s="20">
        <v>6</v>
      </c>
      <c r="G41" s="20">
        <v>3</v>
      </c>
      <c r="I41" s="20">
        <v>295</v>
      </c>
      <c r="J41" s="20">
        <f t="shared" si="1"/>
        <v>291</v>
      </c>
      <c r="K41" s="20">
        <v>110000</v>
      </c>
      <c r="L41" s="20">
        <v>35.4</v>
      </c>
      <c r="M41" s="20">
        <f t="shared" si="2"/>
        <v>3107.3446327683619</v>
      </c>
      <c r="N41" s="20">
        <v>4900</v>
      </c>
      <c r="O41" s="20">
        <f t="shared" si="3"/>
        <v>19.310136093052357</v>
      </c>
      <c r="P41" s="20">
        <v>28900</v>
      </c>
      <c r="Q41" s="20">
        <v>17.600000000000001</v>
      </c>
      <c r="R41" s="20">
        <v>18.7</v>
      </c>
      <c r="S41" s="46">
        <f t="shared" si="4"/>
        <v>1642.0454545454545</v>
      </c>
      <c r="T41" s="46">
        <f t="shared" si="5"/>
        <v>1545.4545454545455</v>
      </c>
      <c r="U41" s="46">
        <f t="shared" si="6"/>
        <v>1545.4545454545455</v>
      </c>
      <c r="V41" s="20">
        <v>2530</v>
      </c>
      <c r="W41" s="20">
        <f t="shared" si="7"/>
        <v>9.897782665572894</v>
      </c>
      <c r="X41" s="20">
        <v>1010</v>
      </c>
      <c r="AB41" s="20">
        <f t="shared" si="8"/>
        <v>47</v>
      </c>
      <c r="AC41" s="20">
        <f t="shared" si="9"/>
        <v>47</v>
      </c>
      <c r="AD41" s="20">
        <v>1</v>
      </c>
      <c r="AE41" s="20">
        <v>320</v>
      </c>
      <c r="AF41" s="20">
        <v>320</v>
      </c>
      <c r="AG41" s="18">
        <f t="shared" si="10"/>
        <v>0.90700000000000003</v>
      </c>
      <c r="AH41" s="20">
        <v>0.90700000000000003</v>
      </c>
      <c r="AI41" s="20">
        <v>16</v>
      </c>
      <c r="AJ41" s="20">
        <v>16</v>
      </c>
      <c r="AK41" s="40">
        <f t="shared" si="11"/>
        <v>20.053333333333335</v>
      </c>
      <c r="AL41" s="40">
        <f t="shared" si="12"/>
        <v>20.053333333333335</v>
      </c>
      <c r="AM41" s="37">
        <f t="shared" si="13"/>
        <v>37.5</v>
      </c>
      <c r="AN41" s="40">
        <f t="shared" si="14"/>
        <v>37.5</v>
      </c>
      <c r="AO41" s="38">
        <f t="shared" si="15"/>
        <v>234</v>
      </c>
    </row>
    <row r="42" spans="1:41">
      <c r="A42" s="45" t="s">
        <v>220</v>
      </c>
      <c r="B42" s="20">
        <v>45</v>
      </c>
      <c r="C42" s="20">
        <f t="shared" si="0"/>
        <v>45</v>
      </c>
      <c r="D42" s="20">
        <v>6</v>
      </c>
      <c r="E42" s="20">
        <v>6</v>
      </c>
      <c r="F42" s="20">
        <v>5</v>
      </c>
      <c r="G42" s="20">
        <v>3</v>
      </c>
      <c r="I42" s="20">
        <v>506</v>
      </c>
      <c r="J42" s="20">
        <f t="shared" si="1"/>
        <v>504</v>
      </c>
      <c r="K42" s="20">
        <v>146000</v>
      </c>
      <c r="L42" s="20">
        <v>31.8</v>
      </c>
      <c r="M42" s="20">
        <f t="shared" si="2"/>
        <v>4591.1949685534591</v>
      </c>
      <c r="N42" s="20">
        <v>7410</v>
      </c>
      <c r="O42" s="20">
        <f t="shared" si="3"/>
        <v>16.986393066425688</v>
      </c>
      <c r="P42" s="20">
        <v>38300</v>
      </c>
      <c r="Q42" s="20">
        <v>16</v>
      </c>
      <c r="R42" s="20">
        <v>18.8</v>
      </c>
      <c r="S42" s="46">
        <f t="shared" si="4"/>
        <v>2393.75</v>
      </c>
      <c r="T42" s="46">
        <f t="shared" si="5"/>
        <v>2037.2340425531913</v>
      </c>
      <c r="U42" s="46">
        <f t="shared" si="6"/>
        <v>2037.2340425531913</v>
      </c>
      <c r="V42" s="20">
        <v>3790</v>
      </c>
      <c r="W42" s="20">
        <f t="shared" si="7"/>
        <v>8.7000976778851786</v>
      </c>
      <c r="X42" s="20">
        <v>6320</v>
      </c>
      <c r="AB42" s="20">
        <f t="shared" si="8"/>
        <v>39</v>
      </c>
      <c r="AC42" s="20">
        <f t="shared" si="9"/>
        <v>39</v>
      </c>
      <c r="AD42" s="20">
        <v>1</v>
      </c>
      <c r="AE42" s="20">
        <v>320</v>
      </c>
      <c r="AF42" s="20">
        <v>320</v>
      </c>
      <c r="AG42" s="18">
        <f t="shared" si="10"/>
        <v>1</v>
      </c>
      <c r="AH42" s="20">
        <v>1</v>
      </c>
      <c r="AI42" s="20">
        <v>16</v>
      </c>
      <c r="AJ42" s="20">
        <v>16</v>
      </c>
      <c r="AK42" s="40">
        <f t="shared" si="11"/>
        <v>8.32</v>
      </c>
      <c r="AL42" s="40">
        <f t="shared" si="12"/>
        <v>8.32</v>
      </c>
      <c r="AM42" s="37">
        <f t="shared" si="13"/>
        <v>39</v>
      </c>
      <c r="AN42" s="40">
        <f t="shared" si="14"/>
        <v>39</v>
      </c>
      <c r="AO42" s="38">
        <f t="shared" si="15"/>
        <v>504</v>
      </c>
    </row>
    <row r="43" spans="1:41">
      <c r="A43" s="45" t="s">
        <v>219</v>
      </c>
      <c r="B43" s="20">
        <v>45</v>
      </c>
      <c r="C43" s="20">
        <f t="shared" si="0"/>
        <v>45</v>
      </c>
      <c r="D43" s="20">
        <v>4.5999999999999996</v>
      </c>
      <c r="E43" s="20">
        <v>4.5999999999999996</v>
      </c>
      <c r="F43" s="20">
        <v>5</v>
      </c>
      <c r="G43" s="20">
        <v>3</v>
      </c>
      <c r="I43" s="20">
        <v>394</v>
      </c>
      <c r="J43" s="20">
        <f t="shared" si="1"/>
        <v>392.83999999999992</v>
      </c>
      <c r="K43" s="20">
        <v>117000</v>
      </c>
      <c r="L43" s="20">
        <v>31.8</v>
      </c>
      <c r="M43" s="20">
        <f t="shared" si="2"/>
        <v>3679.2452830188677</v>
      </c>
      <c r="N43" s="20">
        <v>5840</v>
      </c>
      <c r="O43" s="20">
        <f t="shared" si="3"/>
        <v>17.232362424253157</v>
      </c>
      <c r="P43" s="20">
        <v>30300</v>
      </c>
      <c r="Q43" s="20">
        <v>15.8</v>
      </c>
      <c r="R43" s="20">
        <v>18</v>
      </c>
      <c r="S43" s="46">
        <f t="shared" si="4"/>
        <v>1917.7215189873416</v>
      </c>
      <c r="T43" s="46">
        <f t="shared" si="5"/>
        <v>1683.3333333333333</v>
      </c>
      <c r="U43" s="46">
        <f t="shared" si="6"/>
        <v>1683.3333333333333</v>
      </c>
      <c r="V43" s="20">
        <v>2990</v>
      </c>
      <c r="W43" s="20">
        <f t="shared" si="7"/>
        <v>8.769467104647374</v>
      </c>
      <c r="X43" s="20">
        <v>2960</v>
      </c>
      <c r="AB43" s="20">
        <f t="shared" si="8"/>
        <v>40.4</v>
      </c>
      <c r="AC43" s="20">
        <f t="shared" si="9"/>
        <v>40.4</v>
      </c>
      <c r="AD43" s="20">
        <v>1</v>
      </c>
      <c r="AE43" s="20">
        <v>320</v>
      </c>
      <c r="AF43" s="20">
        <v>320</v>
      </c>
      <c r="AG43" s="18">
        <f t="shared" si="10"/>
        <v>1</v>
      </c>
      <c r="AH43" s="20">
        <v>1</v>
      </c>
      <c r="AI43" s="20">
        <v>16</v>
      </c>
      <c r="AJ43" s="20">
        <v>16</v>
      </c>
      <c r="AK43" s="40">
        <f t="shared" si="11"/>
        <v>11.241739130434782</v>
      </c>
      <c r="AL43" s="40">
        <f t="shared" si="12"/>
        <v>11.241739130434782</v>
      </c>
      <c r="AM43" s="37">
        <f t="shared" si="13"/>
        <v>40.4</v>
      </c>
      <c r="AN43" s="40">
        <f t="shared" si="14"/>
        <v>40.4</v>
      </c>
      <c r="AO43" s="38">
        <f t="shared" si="15"/>
        <v>392.83999999999992</v>
      </c>
    </row>
    <row r="44" spans="1:41">
      <c r="A44" s="45" t="s">
        <v>218</v>
      </c>
      <c r="B44" s="20">
        <v>45</v>
      </c>
      <c r="C44" s="20">
        <f t="shared" si="0"/>
        <v>45</v>
      </c>
      <c r="D44" s="20">
        <v>3</v>
      </c>
      <c r="E44" s="20">
        <v>3</v>
      </c>
      <c r="F44" s="20">
        <v>5</v>
      </c>
      <c r="G44" s="20">
        <v>3</v>
      </c>
      <c r="I44" s="20">
        <v>263</v>
      </c>
      <c r="J44" s="20">
        <f t="shared" si="1"/>
        <v>261</v>
      </c>
      <c r="K44" s="20">
        <v>79000</v>
      </c>
      <c r="L44" s="20">
        <v>31.8</v>
      </c>
      <c r="M44" s="20">
        <f t="shared" si="2"/>
        <v>2484.2767295597482</v>
      </c>
      <c r="N44" s="20">
        <v>3920</v>
      </c>
      <c r="O44" s="20">
        <f t="shared" si="3"/>
        <v>17.331480840853793</v>
      </c>
      <c r="P44" s="20">
        <v>20600</v>
      </c>
      <c r="Q44" s="20">
        <v>15.7</v>
      </c>
      <c r="R44" s="20">
        <v>17</v>
      </c>
      <c r="S44" s="46">
        <f t="shared" si="4"/>
        <v>1312.1019108280254</v>
      </c>
      <c r="T44" s="46">
        <f t="shared" si="5"/>
        <v>1211.7647058823529</v>
      </c>
      <c r="U44" s="46">
        <f t="shared" si="6"/>
        <v>1211.7647058823529</v>
      </c>
      <c r="V44" s="20">
        <v>2020</v>
      </c>
      <c r="W44" s="20">
        <f t="shared" si="7"/>
        <v>8.8502540188244669</v>
      </c>
      <c r="X44" s="20">
        <v>875</v>
      </c>
      <c r="AB44" s="20">
        <f t="shared" si="8"/>
        <v>42</v>
      </c>
      <c r="AC44" s="20">
        <f t="shared" si="9"/>
        <v>42</v>
      </c>
      <c r="AD44" s="20">
        <v>1</v>
      </c>
      <c r="AE44" s="20">
        <v>320</v>
      </c>
      <c r="AF44" s="20">
        <v>320</v>
      </c>
      <c r="AG44" s="18">
        <f t="shared" si="10"/>
        <v>1</v>
      </c>
      <c r="AH44" s="20">
        <v>1</v>
      </c>
      <c r="AI44" s="20">
        <v>16</v>
      </c>
      <c r="AJ44" s="20">
        <v>16</v>
      </c>
      <c r="AK44" s="40">
        <f t="shared" si="11"/>
        <v>17.920000000000002</v>
      </c>
      <c r="AL44" s="40">
        <f t="shared" si="12"/>
        <v>17.920000000000002</v>
      </c>
      <c r="AM44" s="37">
        <f t="shared" si="13"/>
        <v>37.5</v>
      </c>
      <c r="AN44" s="40">
        <f t="shared" si="14"/>
        <v>37.5</v>
      </c>
      <c r="AO44" s="38">
        <f t="shared" si="15"/>
        <v>234</v>
      </c>
    </row>
    <row r="45" spans="1:41">
      <c r="A45" s="45" t="s">
        <v>217</v>
      </c>
      <c r="B45" s="20">
        <v>40</v>
      </c>
      <c r="C45" s="20">
        <f t="shared" si="0"/>
        <v>40</v>
      </c>
      <c r="D45" s="20">
        <v>6</v>
      </c>
      <c r="E45" s="20">
        <v>6</v>
      </c>
      <c r="F45" s="20">
        <v>5</v>
      </c>
      <c r="G45" s="20">
        <v>3</v>
      </c>
      <c r="I45" s="20">
        <v>446</v>
      </c>
      <c r="J45" s="20">
        <f t="shared" si="1"/>
        <v>444</v>
      </c>
      <c r="K45" s="20">
        <v>99700</v>
      </c>
      <c r="L45" s="20">
        <v>28.3</v>
      </c>
      <c r="M45" s="20">
        <f t="shared" si="2"/>
        <v>3522.9681978798585</v>
      </c>
      <c r="N45" s="20">
        <v>5750</v>
      </c>
      <c r="O45" s="20">
        <f t="shared" si="3"/>
        <v>14.951341106966325</v>
      </c>
      <c r="P45" s="20">
        <v>26500</v>
      </c>
      <c r="Q45" s="20">
        <v>14.3</v>
      </c>
      <c r="R45" s="20">
        <v>17</v>
      </c>
      <c r="S45" s="46">
        <f t="shared" si="4"/>
        <v>1853.1468531468531</v>
      </c>
      <c r="T45" s="46">
        <f t="shared" si="5"/>
        <v>1558.8235294117646</v>
      </c>
      <c r="U45" s="46">
        <f t="shared" si="6"/>
        <v>1558.8235294117646</v>
      </c>
      <c r="V45" s="20">
        <v>2950</v>
      </c>
      <c r="W45" s="20">
        <f t="shared" si="7"/>
        <v>7.7082449597002558</v>
      </c>
      <c r="X45" s="20">
        <v>5600</v>
      </c>
      <c r="AB45" s="20">
        <f t="shared" si="8"/>
        <v>34</v>
      </c>
      <c r="AC45" s="20">
        <f t="shared" si="9"/>
        <v>34</v>
      </c>
      <c r="AD45" s="20">
        <v>1</v>
      </c>
      <c r="AE45" s="20">
        <v>320</v>
      </c>
      <c r="AF45" s="20">
        <v>320</v>
      </c>
      <c r="AG45" s="18">
        <f t="shared" si="10"/>
        <v>1</v>
      </c>
      <c r="AH45" s="20">
        <v>1</v>
      </c>
      <c r="AI45" s="20">
        <v>16</v>
      </c>
      <c r="AJ45" s="20">
        <v>16</v>
      </c>
      <c r="AK45" s="40">
        <f t="shared" si="11"/>
        <v>7.2533333333333339</v>
      </c>
      <c r="AL45" s="40">
        <f t="shared" si="12"/>
        <v>7.2533333333333339</v>
      </c>
      <c r="AM45" s="37">
        <f t="shared" si="13"/>
        <v>34</v>
      </c>
      <c r="AN45" s="40">
        <f t="shared" si="14"/>
        <v>34</v>
      </c>
      <c r="AO45" s="38">
        <f t="shared" si="15"/>
        <v>444</v>
      </c>
    </row>
    <row r="46" spans="1:41">
      <c r="A46" s="45" t="s">
        <v>216</v>
      </c>
      <c r="B46" s="20">
        <v>40</v>
      </c>
      <c r="C46" s="20">
        <f t="shared" si="0"/>
        <v>40</v>
      </c>
      <c r="D46" s="20">
        <v>4.5999999999999996</v>
      </c>
      <c r="E46" s="20">
        <v>4.5999999999999996</v>
      </c>
      <c r="F46" s="20">
        <v>5</v>
      </c>
      <c r="G46" s="20">
        <v>3</v>
      </c>
      <c r="I46" s="20">
        <v>348</v>
      </c>
      <c r="J46" s="20">
        <f t="shared" si="1"/>
        <v>346.83999999999992</v>
      </c>
      <c r="K46" s="20">
        <v>80100</v>
      </c>
      <c r="L46" s="20">
        <v>28.3</v>
      </c>
      <c r="M46" s="20">
        <f t="shared" si="2"/>
        <v>2830.388692579505</v>
      </c>
      <c r="N46" s="20">
        <v>4550</v>
      </c>
      <c r="O46" s="20">
        <f t="shared" si="3"/>
        <v>15.171434137651703</v>
      </c>
      <c r="P46" s="20">
        <v>20900</v>
      </c>
      <c r="Q46" s="20">
        <v>14</v>
      </c>
      <c r="R46" s="20">
        <v>16.2</v>
      </c>
      <c r="S46" s="46">
        <f t="shared" si="4"/>
        <v>1492.8571428571429</v>
      </c>
      <c r="T46" s="46">
        <f t="shared" si="5"/>
        <v>1290.1234567901236</v>
      </c>
      <c r="U46" s="46">
        <f t="shared" si="6"/>
        <v>1290.1234567901236</v>
      </c>
      <c r="V46" s="20">
        <v>2330</v>
      </c>
      <c r="W46" s="20">
        <f t="shared" si="7"/>
        <v>7.7496755586519761</v>
      </c>
      <c r="X46" s="20">
        <v>2630</v>
      </c>
      <c r="AB46" s="20">
        <f t="shared" si="8"/>
        <v>35.4</v>
      </c>
      <c r="AC46" s="20">
        <f t="shared" si="9"/>
        <v>35.4</v>
      </c>
      <c r="AD46" s="20">
        <v>1</v>
      </c>
      <c r="AE46" s="20">
        <v>320</v>
      </c>
      <c r="AF46" s="20">
        <v>320</v>
      </c>
      <c r="AG46" s="18">
        <f t="shared" si="10"/>
        <v>1</v>
      </c>
      <c r="AH46" s="20">
        <v>1</v>
      </c>
      <c r="AI46" s="20">
        <v>16</v>
      </c>
      <c r="AJ46" s="20">
        <v>16</v>
      </c>
      <c r="AK46" s="40">
        <f t="shared" si="11"/>
        <v>9.850434782608696</v>
      </c>
      <c r="AL46" s="40">
        <f t="shared" si="12"/>
        <v>9.850434782608696</v>
      </c>
      <c r="AM46" s="37">
        <f t="shared" si="13"/>
        <v>35.4</v>
      </c>
      <c r="AN46" s="40">
        <f t="shared" si="14"/>
        <v>35.4</v>
      </c>
      <c r="AO46" s="38">
        <f t="shared" si="15"/>
        <v>346.83999999999992</v>
      </c>
    </row>
    <row r="47" spans="1:41">
      <c r="A47" s="45" t="s">
        <v>215</v>
      </c>
      <c r="B47" s="20">
        <v>40</v>
      </c>
      <c r="C47" s="20">
        <f t="shared" si="0"/>
        <v>40</v>
      </c>
      <c r="D47" s="20">
        <v>3</v>
      </c>
      <c r="E47" s="20">
        <v>3</v>
      </c>
      <c r="F47" s="20">
        <v>5</v>
      </c>
      <c r="G47" s="20">
        <v>3</v>
      </c>
      <c r="I47" s="20">
        <v>233</v>
      </c>
      <c r="J47" s="20">
        <f t="shared" si="1"/>
        <v>231</v>
      </c>
      <c r="K47" s="20">
        <v>54500</v>
      </c>
      <c r="L47" s="20">
        <v>28.3</v>
      </c>
      <c r="M47" s="20">
        <f t="shared" si="2"/>
        <v>1925.7950530035334</v>
      </c>
      <c r="N47" s="20">
        <v>3060</v>
      </c>
      <c r="O47" s="20">
        <f t="shared" si="3"/>
        <v>15.29397199550011</v>
      </c>
      <c r="P47" s="20">
        <v>14200</v>
      </c>
      <c r="Q47" s="20">
        <v>13.9</v>
      </c>
      <c r="R47" s="20">
        <v>15.3</v>
      </c>
      <c r="S47" s="46">
        <f t="shared" si="4"/>
        <v>1021.5827338129496</v>
      </c>
      <c r="T47" s="46">
        <f t="shared" si="5"/>
        <v>928.10457516339864</v>
      </c>
      <c r="U47" s="46">
        <f t="shared" si="6"/>
        <v>928.10457516339864</v>
      </c>
      <c r="V47" s="20">
        <v>1580</v>
      </c>
      <c r="W47" s="20">
        <f t="shared" si="7"/>
        <v>7.8066770144911013</v>
      </c>
      <c r="X47" s="20">
        <v>785</v>
      </c>
      <c r="AB47" s="20">
        <f t="shared" si="8"/>
        <v>37</v>
      </c>
      <c r="AC47" s="20">
        <f t="shared" si="9"/>
        <v>37</v>
      </c>
      <c r="AD47" s="20">
        <v>1</v>
      </c>
      <c r="AE47" s="20">
        <v>320</v>
      </c>
      <c r="AF47" s="20">
        <v>320</v>
      </c>
      <c r="AG47" s="18">
        <f t="shared" si="10"/>
        <v>1</v>
      </c>
      <c r="AH47" s="20">
        <v>1</v>
      </c>
      <c r="AI47" s="20">
        <v>16</v>
      </c>
      <c r="AJ47" s="20">
        <v>16</v>
      </c>
      <c r="AK47" s="40">
        <f t="shared" si="11"/>
        <v>15.786666666666667</v>
      </c>
      <c r="AL47" s="40">
        <f t="shared" si="12"/>
        <v>15.786666666666667</v>
      </c>
      <c r="AM47" s="37">
        <f t="shared" si="13"/>
        <v>37</v>
      </c>
      <c r="AN47" s="40">
        <f t="shared" si="14"/>
        <v>37</v>
      </c>
      <c r="AO47" s="38">
        <f t="shared" si="15"/>
        <v>231</v>
      </c>
    </row>
    <row r="48" spans="1:41">
      <c r="A48" s="45" t="s">
        <v>214</v>
      </c>
      <c r="B48" s="20">
        <v>30</v>
      </c>
      <c r="C48" s="20">
        <f t="shared" si="0"/>
        <v>30</v>
      </c>
      <c r="D48" s="20">
        <v>6</v>
      </c>
      <c r="E48" s="20">
        <v>6</v>
      </c>
      <c r="F48" s="20">
        <v>5</v>
      </c>
      <c r="G48" s="20">
        <v>3</v>
      </c>
      <c r="I48" s="20">
        <v>326</v>
      </c>
      <c r="J48" s="20">
        <f t="shared" si="1"/>
        <v>324</v>
      </c>
      <c r="K48" s="20">
        <v>38700</v>
      </c>
      <c r="L48" s="20">
        <v>21.5</v>
      </c>
      <c r="M48" s="20">
        <f t="shared" si="2"/>
        <v>1800</v>
      </c>
      <c r="N48" s="20">
        <v>3060</v>
      </c>
      <c r="O48" s="20">
        <f t="shared" si="3"/>
        <v>10.895487893697913</v>
      </c>
      <c r="P48" s="20">
        <v>10700</v>
      </c>
      <c r="Q48" s="20">
        <v>10.7</v>
      </c>
      <c r="R48" s="20">
        <v>13.5</v>
      </c>
      <c r="S48" s="46">
        <f t="shared" si="4"/>
        <v>1000.0000000000001</v>
      </c>
      <c r="T48" s="46">
        <f t="shared" si="5"/>
        <v>792.59259259259261</v>
      </c>
      <c r="U48" s="46">
        <f t="shared" si="6"/>
        <v>792.59259259259261</v>
      </c>
      <c r="V48" s="20">
        <v>1590</v>
      </c>
      <c r="W48" s="20">
        <f t="shared" si="7"/>
        <v>5.7290562826324676</v>
      </c>
      <c r="X48" s="20">
        <v>4160</v>
      </c>
      <c r="AB48" s="20">
        <f t="shared" si="8"/>
        <v>24</v>
      </c>
      <c r="AC48" s="20">
        <f t="shared" si="9"/>
        <v>24</v>
      </c>
      <c r="AD48" s="20">
        <v>1</v>
      </c>
      <c r="AE48" s="20">
        <v>320</v>
      </c>
      <c r="AF48" s="20">
        <v>320</v>
      </c>
      <c r="AG48" s="18">
        <f t="shared" si="10"/>
        <v>1</v>
      </c>
      <c r="AH48" s="20">
        <v>1</v>
      </c>
      <c r="AI48" s="20">
        <v>16</v>
      </c>
      <c r="AJ48" s="20">
        <v>16</v>
      </c>
      <c r="AK48" s="40">
        <f t="shared" si="11"/>
        <v>5.12</v>
      </c>
      <c r="AL48" s="40">
        <f t="shared" si="12"/>
        <v>5.12</v>
      </c>
      <c r="AM48" s="37">
        <f t="shared" si="13"/>
        <v>24</v>
      </c>
      <c r="AN48" s="40">
        <f t="shared" si="14"/>
        <v>24</v>
      </c>
      <c r="AO48" s="38">
        <f t="shared" si="15"/>
        <v>324</v>
      </c>
    </row>
    <row r="49" spans="1:41">
      <c r="A49" s="45" t="s">
        <v>213</v>
      </c>
      <c r="B49" s="20">
        <v>30</v>
      </c>
      <c r="C49" s="20">
        <f t="shared" si="0"/>
        <v>30</v>
      </c>
      <c r="D49" s="20">
        <v>4.5999999999999996</v>
      </c>
      <c r="E49" s="20">
        <v>4.5999999999999996</v>
      </c>
      <c r="F49" s="20">
        <v>5</v>
      </c>
      <c r="G49" s="20">
        <v>3</v>
      </c>
      <c r="I49" s="20">
        <v>256</v>
      </c>
      <c r="J49" s="20">
        <f t="shared" si="1"/>
        <v>254.83999999999997</v>
      </c>
      <c r="K49" s="20">
        <v>31600</v>
      </c>
      <c r="L49" s="20">
        <v>21.5</v>
      </c>
      <c r="M49" s="20">
        <f t="shared" si="2"/>
        <v>1469.7674418604652</v>
      </c>
      <c r="N49" s="20">
        <v>2450</v>
      </c>
      <c r="O49" s="20">
        <f t="shared" si="3"/>
        <v>11.110243021644486</v>
      </c>
      <c r="P49" s="20">
        <v>8390</v>
      </c>
      <c r="Q49" s="20">
        <v>10.5</v>
      </c>
      <c r="R49" s="20">
        <v>12.7</v>
      </c>
      <c r="S49" s="46">
        <f t="shared" si="4"/>
        <v>799.04761904761904</v>
      </c>
      <c r="T49" s="46">
        <f t="shared" si="5"/>
        <v>660.6299212598426</v>
      </c>
      <c r="U49" s="46">
        <f t="shared" si="6"/>
        <v>660.6299212598426</v>
      </c>
      <c r="V49" s="20">
        <v>1260</v>
      </c>
      <c r="W49" s="20">
        <f t="shared" si="7"/>
        <v>5.7248089487772429</v>
      </c>
      <c r="X49" s="20">
        <v>1980</v>
      </c>
      <c r="AB49" s="20">
        <f t="shared" si="8"/>
        <v>25.4</v>
      </c>
      <c r="AC49" s="20">
        <f t="shared" si="9"/>
        <v>25.4</v>
      </c>
      <c r="AD49" s="20">
        <v>1</v>
      </c>
      <c r="AE49" s="20">
        <v>320</v>
      </c>
      <c r="AF49" s="20">
        <v>320</v>
      </c>
      <c r="AG49" s="18">
        <f t="shared" si="10"/>
        <v>1</v>
      </c>
      <c r="AH49" s="20">
        <v>1</v>
      </c>
      <c r="AI49" s="20">
        <v>16</v>
      </c>
      <c r="AJ49" s="20">
        <v>16</v>
      </c>
      <c r="AK49" s="40">
        <f t="shared" si="11"/>
        <v>7.0678260869565221</v>
      </c>
      <c r="AL49" s="40">
        <f t="shared" si="12"/>
        <v>7.0678260869565221</v>
      </c>
      <c r="AM49" s="37">
        <f t="shared" si="13"/>
        <v>25.4</v>
      </c>
      <c r="AN49" s="40">
        <f t="shared" si="14"/>
        <v>25.4</v>
      </c>
      <c r="AO49" s="38">
        <f t="shared" si="15"/>
        <v>254.83999999999997</v>
      </c>
    </row>
    <row r="50" spans="1:41">
      <c r="A50" s="45" t="s">
        <v>212</v>
      </c>
      <c r="B50" s="20">
        <v>30</v>
      </c>
      <c r="C50" s="20">
        <f t="shared" si="0"/>
        <v>30</v>
      </c>
      <c r="D50" s="20">
        <v>3</v>
      </c>
      <c r="E50" s="20">
        <v>3</v>
      </c>
      <c r="F50" s="20">
        <v>5</v>
      </c>
      <c r="G50" s="20">
        <v>3</v>
      </c>
      <c r="I50" s="20">
        <v>173</v>
      </c>
      <c r="J50" s="20">
        <f t="shared" si="1"/>
        <v>171</v>
      </c>
      <c r="K50" s="20">
        <v>21800</v>
      </c>
      <c r="L50" s="20">
        <v>21.5</v>
      </c>
      <c r="M50" s="20">
        <f t="shared" si="2"/>
        <v>1013.953488372093</v>
      </c>
      <c r="N50" s="20">
        <v>1670</v>
      </c>
      <c r="O50" s="20">
        <f t="shared" si="3"/>
        <v>11.225487102733743</v>
      </c>
      <c r="P50" s="20">
        <v>5730</v>
      </c>
      <c r="Q50" s="20">
        <v>10.3</v>
      </c>
      <c r="R50" s="20">
        <v>11.7</v>
      </c>
      <c r="S50" s="46">
        <f t="shared" si="4"/>
        <v>556.31067961165047</v>
      </c>
      <c r="T50" s="46">
        <f t="shared" si="5"/>
        <v>489.74358974358978</v>
      </c>
      <c r="U50" s="46">
        <f t="shared" si="6"/>
        <v>489.74358974358978</v>
      </c>
      <c r="V50" s="20">
        <v>862</v>
      </c>
      <c r="W50" s="20">
        <f t="shared" si="7"/>
        <v>5.7551183552761964</v>
      </c>
      <c r="X50" s="20">
        <v>605</v>
      </c>
      <c r="AB50" s="20">
        <f t="shared" si="8"/>
        <v>27</v>
      </c>
      <c r="AC50" s="20">
        <f t="shared" si="9"/>
        <v>27</v>
      </c>
      <c r="AD50" s="20">
        <v>1</v>
      </c>
      <c r="AE50" s="20">
        <v>320</v>
      </c>
      <c r="AF50" s="20">
        <v>320</v>
      </c>
      <c r="AG50" s="18">
        <f t="shared" si="10"/>
        <v>1</v>
      </c>
      <c r="AH50" s="20">
        <v>1</v>
      </c>
      <c r="AI50" s="20">
        <v>16</v>
      </c>
      <c r="AJ50" s="20">
        <v>16</v>
      </c>
      <c r="AK50" s="40">
        <f t="shared" si="11"/>
        <v>11.52</v>
      </c>
      <c r="AL50" s="40">
        <f t="shared" si="12"/>
        <v>11.52</v>
      </c>
      <c r="AM50" s="37">
        <f t="shared" si="13"/>
        <v>27</v>
      </c>
      <c r="AN50" s="40">
        <f t="shared" si="14"/>
        <v>27</v>
      </c>
      <c r="AO50" s="38">
        <f t="shared" si="15"/>
        <v>171</v>
      </c>
    </row>
    <row r="51" spans="1:41">
      <c r="A51" s="45" t="s">
        <v>211</v>
      </c>
      <c r="B51" s="20">
        <v>25</v>
      </c>
      <c r="C51" s="20">
        <f t="shared" si="0"/>
        <v>25</v>
      </c>
      <c r="D51" s="20">
        <v>6</v>
      </c>
      <c r="E51" s="20">
        <v>6</v>
      </c>
      <c r="F51" s="20">
        <v>5</v>
      </c>
      <c r="G51" s="20">
        <v>3</v>
      </c>
      <c r="I51" s="20">
        <v>266</v>
      </c>
      <c r="J51" s="20">
        <f t="shared" si="1"/>
        <v>264</v>
      </c>
      <c r="K51" s="20">
        <v>21000</v>
      </c>
      <c r="L51" s="20">
        <v>17.7</v>
      </c>
      <c r="M51" s="20">
        <f t="shared" si="2"/>
        <v>1186.4406779661017</v>
      </c>
      <c r="N51" s="20">
        <v>2030</v>
      </c>
      <c r="O51" s="20">
        <f t="shared" si="3"/>
        <v>8.8852331663863851</v>
      </c>
      <c r="P51" s="20">
        <v>6000</v>
      </c>
      <c r="Q51" s="20">
        <v>8.9700000000000006</v>
      </c>
      <c r="R51" s="20">
        <v>11.7</v>
      </c>
      <c r="S51" s="46">
        <f t="shared" si="4"/>
        <v>668.89632107023408</v>
      </c>
      <c r="T51" s="46">
        <f t="shared" si="5"/>
        <v>512.82051282051282</v>
      </c>
      <c r="U51" s="46">
        <f t="shared" si="6"/>
        <v>512.82051282051282</v>
      </c>
      <c r="V51" s="20">
        <v>1070</v>
      </c>
      <c r="W51" s="20">
        <f t="shared" si="7"/>
        <v>4.7493569014597767</v>
      </c>
      <c r="X51" s="20">
        <v>3440</v>
      </c>
      <c r="AB51" s="20">
        <f t="shared" si="8"/>
        <v>19</v>
      </c>
      <c r="AC51" s="20">
        <f t="shared" si="9"/>
        <v>19</v>
      </c>
      <c r="AD51" s="20">
        <v>1</v>
      </c>
      <c r="AE51" s="20">
        <v>320</v>
      </c>
      <c r="AF51" s="20">
        <v>320</v>
      </c>
      <c r="AG51" s="18">
        <f t="shared" si="10"/>
        <v>1</v>
      </c>
      <c r="AH51" s="20">
        <v>1</v>
      </c>
      <c r="AI51" s="20">
        <v>16</v>
      </c>
      <c r="AJ51" s="20">
        <v>16</v>
      </c>
      <c r="AK51" s="40">
        <f t="shared" si="11"/>
        <v>4.0533333333333328</v>
      </c>
      <c r="AL51" s="40">
        <f t="shared" si="12"/>
        <v>4.0533333333333328</v>
      </c>
      <c r="AM51" s="37">
        <f t="shared" si="13"/>
        <v>19</v>
      </c>
      <c r="AN51" s="40">
        <f t="shared" si="14"/>
        <v>19</v>
      </c>
      <c r="AO51" s="38">
        <f t="shared" si="15"/>
        <v>264</v>
      </c>
    </row>
    <row r="52" spans="1:41">
      <c r="A52" s="45" t="s">
        <v>210</v>
      </c>
      <c r="B52" s="20">
        <v>25</v>
      </c>
      <c r="C52" s="20">
        <f t="shared" si="0"/>
        <v>25</v>
      </c>
      <c r="D52" s="20">
        <v>4.5999999999999996</v>
      </c>
      <c r="E52" s="20">
        <v>4.5999999999999996</v>
      </c>
      <c r="F52" s="20">
        <v>5</v>
      </c>
      <c r="G52" s="20">
        <v>3</v>
      </c>
      <c r="I52" s="20">
        <v>210</v>
      </c>
      <c r="J52" s="20">
        <f t="shared" si="1"/>
        <v>208.83999999999997</v>
      </c>
      <c r="K52" s="20">
        <v>17300</v>
      </c>
      <c r="L52" s="20">
        <v>17.7</v>
      </c>
      <c r="M52" s="20">
        <f t="shared" si="2"/>
        <v>977.40112994350284</v>
      </c>
      <c r="N52" s="20">
        <v>1650</v>
      </c>
      <c r="O52" s="20">
        <f t="shared" si="3"/>
        <v>9.0763953407149671</v>
      </c>
      <c r="P52" s="20">
        <v>4690</v>
      </c>
      <c r="Q52" s="20">
        <v>8.73</v>
      </c>
      <c r="R52" s="20">
        <v>11</v>
      </c>
      <c r="S52" s="46">
        <f t="shared" si="4"/>
        <v>537.22794959908356</v>
      </c>
      <c r="T52" s="46">
        <f t="shared" si="5"/>
        <v>426.36363636363637</v>
      </c>
      <c r="U52" s="46">
        <f t="shared" si="6"/>
        <v>426.36363636363637</v>
      </c>
      <c r="V52" s="20">
        <v>849</v>
      </c>
      <c r="W52" s="20">
        <f t="shared" si="7"/>
        <v>4.7258156262526079</v>
      </c>
      <c r="X52" s="20">
        <v>1660</v>
      </c>
      <c r="AB52" s="20">
        <f t="shared" si="8"/>
        <v>20.399999999999999</v>
      </c>
      <c r="AC52" s="20">
        <f t="shared" si="9"/>
        <v>20.399999999999999</v>
      </c>
      <c r="AD52" s="20">
        <v>1</v>
      </c>
      <c r="AE52" s="20">
        <v>320</v>
      </c>
      <c r="AF52" s="20">
        <v>320</v>
      </c>
      <c r="AG52" s="18">
        <f t="shared" si="10"/>
        <v>1</v>
      </c>
      <c r="AH52" s="20">
        <v>1</v>
      </c>
      <c r="AI52" s="20">
        <v>16</v>
      </c>
      <c r="AJ52" s="20">
        <v>16</v>
      </c>
      <c r="AK52" s="40">
        <f t="shared" si="11"/>
        <v>5.6765217391304352</v>
      </c>
      <c r="AL52" s="40">
        <f t="shared" si="12"/>
        <v>5.6765217391304352</v>
      </c>
      <c r="AM52" s="37">
        <f t="shared" si="13"/>
        <v>20.399999999999999</v>
      </c>
      <c r="AN52" s="40">
        <f t="shared" si="14"/>
        <v>20.399999999999999</v>
      </c>
      <c r="AO52" s="38">
        <f t="shared" si="15"/>
        <v>208.83999999999997</v>
      </c>
    </row>
    <row r="53" spans="1:41">
      <c r="A53" s="45" t="s">
        <v>209</v>
      </c>
      <c r="B53" s="20">
        <v>25</v>
      </c>
      <c r="C53" s="20">
        <f t="shared" si="0"/>
        <v>25</v>
      </c>
      <c r="D53" s="20">
        <v>3</v>
      </c>
      <c r="E53" s="20">
        <v>3</v>
      </c>
      <c r="F53" s="20">
        <v>5</v>
      </c>
      <c r="G53" s="20">
        <v>3</v>
      </c>
      <c r="I53" s="20">
        <v>143</v>
      </c>
      <c r="J53" s="20">
        <f t="shared" si="1"/>
        <v>141</v>
      </c>
      <c r="K53" s="20">
        <v>12100</v>
      </c>
      <c r="L53" s="20">
        <v>17.7</v>
      </c>
      <c r="M53" s="20">
        <f t="shared" si="2"/>
        <v>683.61581920903961</v>
      </c>
      <c r="N53" s="20">
        <v>1130</v>
      </c>
      <c r="O53" s="20">
        <f t="shared" si="3"/>
        <v>9.1986621100779988</v>
      </c>
      <c r="P53" s="20">
        <v>3190</v>
      </c>
      <c r="Q53" s="20">
        <v>8.56</v>
      </c>
      <c r="R53" s="20">
        <v>9.99</v>
      </c>
      <c r="S53" s="46">
        <f t="shared" si="4"/>
        <v>372.66355140186914</v>
      </c>
      <c r="T53" s="46">
        <f t="shared" si="5"/>
        <v>319.31931931931933</v>
      </c>
      <c r="U53" s="46">
        <f t="shared" si="6"/>
        <v>319.31931931931933</v>
      </c>
      <c r="V53" s="20">
        <v>583</v>
      </c>
      <c r="W53" s="20">
        <f t="shared" si="7"/>
        <v>4.7231019793873079</v>
      </c>
      <c r="X53" s="20">
        <v>515</v>
      </c>
      <c r="AB53" s="20">
        <f t="shared" si="8"/>
        <v>22</v>
      </c>
      <c r="AC53" s="20">
        <f t="shared" si="9"/>
        <v>22</v>
      </c>
      <c r="AD53" s="20">
        <v>1</v>
      </c>
      <c r="AE53" s="20">
        <v>320</v>
      </c>
      <c r="AF53" s="20">
        <v>320</v>
      </c>
      <c r="AG53" s="18">
        <f t="shared" si="10"/>
        <v>1</v>
      </c>
      <c r="AH53" s="20">
        <v>1</v>
      </c>
      <c r="AI53" s="20">
        <v>16</v>
      </c>
      <c r="AJ53" s="20">
        <v>16</v>
      </c>
      <c r="AK53" s="40">
        <f t="shared" si="11"/>
        <v>9.3866666666666667</v>
      </c>
      <c r="AL53" s="40">
        <f t="shared" si="12"/>
        <v>9.3866666666666667</v>
      </c>
      <c r="AM53" s="37">
        <f t="shared" si="13"/>
        <v>22</v>
      </c>
      <c r="AN53" s="40">
        <f t="shared" si="14"/>
        <v>22</v>
      </c>
      <c r="AO53" s="38">
        <f t="shared" si="15"/>
        <v>141</v>
      </c>
    </row>
  </sheetData>
  <mergeCells count="2">
    <mergeCell ref="K4:O4"/>
    <mergeCell ref="P4:W4"/>
  </mergeCells>
  <conditionalFormatting sqref="AN8:AN53">
    <cfRule type="cellIs" dxfId="3" priority="2" operator="lessThan">
      <formula>AC8</formula>
    </cfRule>
  </conditionalFormatting>
  <conditionalFormatting sqref="AM8:AM53">
    <cfRule type="cellIs" dxfId="2" priority="1" operator="lessThan">
      <formula>AB8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F718C-7DE6-44BC-B51C-8311C9AB67DA}">
  <sheetPr codeName="Sheet9"/>
  <dimension ref="A1:V25"/>
  <sheetViews>
    <sheetView topLeftCell="L1" workbookViewId="0">
      <selection activeCell="BM32" sqref="BL32:BM32"/>
    </sheetView>
  </sheetViews>
  <sheetFormatPr defaultColWidth="8.88671875" defaultRowHeight="14.4"/>
  <cols>
    <col min="1" max="16384" width="8.88671875" style="20"/>
  </cols>
  <sheetData>
    <row r="1" spans="1:22">
      <c r="A1" s="21">
        <f>COLUMN()</f>
        <v>1</v>
      </c>
      <c r="B1" s="21">
        <f>COLUMN()</f>
        <v>2</v>
      </c>
      <c r="C1" s="21">
        <f>COLUMN()</f>
        <v>3</v>
      </c>
      <c r="D1" s="21">
        <f>COLUMN()</f>
        <v>4</v>
      </c>
      <c r="E1" s="21">
        <f>COLUMN()</f>
        <v>5</v>
      </c>
      <c r="F1" s="21">
        <f>COLUMN()</f>
        <v>6</v>
      </c>
      <c r="G1" s="21">
        <f>COLUMN()</f>
        <v>7</v>
      </c>
      <c r="H1" s="21">
        <f>COLUMN()</f>
        <v>8</v>
      </c>
      <c r="I1" s="21">
        <f>COLUMN()</f>
        <v>9</v>
      </c>
      <c r="J1" s="21">
        <f>COLUMN()</f>
        <v>10</v>
      </c>
      <c r="K1" s="21">
        <f>COLUMN()</f>
        <v>11</v>
      </c>
      <c r="L1" s="21">
        <f>COLUMN()</f>
        <v>12</v>
      </c>
      <c r="M1" s="21">
        <f>COLUMN()</f>
        <v>13</v>
      </c>
      <c r="N1" s="21">
        <f>COLUMN()</f>
        <v>14</v>
      </c>
      <c r="O1" s="21">
        <f>COLUMN()</f>
        <v>15</v>
      </c>
      <c r="P1" s="21">
        <f>COLUMN()</f>
        <v>16</v>
      </c>
      <c r="Q1" s="21">
        <f>COLUMN()</f>
        <v>17</v>
      </c>
    </row>
    <row r="2" spans="1:22">
      <c r="A2" s="22"/>
      <c r="B2" s="22"/>
      <c r="C2" s="22"/>
      <c r="D2" s="22"/>
      <c r="E2" s="22"/>
      <c r="F2" s="22" t="s">
        <v>348</v>
      </c>
      <c r="G2" s="22"/>
      <c r="H2" s="47"/>
      <c r="I2" s="47"/>
      <c r="J2" s="47"/>
      <c r="K2" s="47"/>
      <c r="L2" s="47"/>
      <c r="M2" s="47"/>
      <c r="N2" s="47"/>
      <c r="O2" s="22"/>
      <c r="P2" s="22"/>
      <c r="Q2" s="23"/>
    </row>
    <row r="3" spans="1:22">
      <c r="A3" s="24" t="s">
        <v>7</v>
      </c>
      <c r="B3" s="24"/>
      <c r="C3" s="24"/>
      <c r="D3" s="24"/>
      <c r="E3" s="24"/>
      <c r="F3" s="24"/>
      <c r="G3" s="25" t="s">
        <v>195</v>
      </c>
      <c r="H3" s="25"/>
      <c r="I3" s="25"/>
      <c r="J3" s="25"/>
      <c r="K3" s="25"/>
      <c r="L3" s="26"/>
      <c r="M3" s="25"/>
      <c r="N3" s="25"/>
      <c r="O3" s="25"/>
      <c r="P3" s="25" t="s">
        <v>194</v>
      </c>
      <c r="Q3" s="27" t="s">
        <v>193</v>
      </c>
    </row>
    <row r="4" spans="1:22">
      <c r="A4" s="28"/>
      <c r="B4" s="28"/>
      <c r="C4" s="28"/>
      <c r="D4" s="28"/>
      <c r="E4" s="28"/>
      <c r="F4" s="28"/>
      <c r="G4" s="67" t="s">
        <v>192</v>
      </c>
      <c r="H4" s="119" t="s">
        <v>16</v>
      </c>
      <c r="I4" s="119"/>
      <c r="J4" s="119"/>
      <c r="K4" s="119"/>
      <c r="L4" s="119" t="s">
        <v>19</v>
      </c>
      <c r="M4" s="119"/>
      <c r="N4" s="119"/>
      <c r="O4" s="119"/>
      <c r="P4" s="67" t="s">
        <v>191</v>
      </c>
      <c r="Q4" s="29" t="s">
        <v>191</v>
      </c>
    </row>
    <row r="5" spans="1:22">
      <c r="A5" s="28"/>
      <c r="B5" s="28"/>
      <c r="C5" s="28"/>
      <c r="D5" s="28"/>
      <c r="E5" s="28"/>
      <c r="F5" s="28"/>
      <c r="G5" s="67" t="s">
        <v>190</v>
      </c>
      <c r="H5" s="67"/>
      <c r="I5" s="67"/>
      <c r="J5" s="67"/>
      <c r="K5" s="67"/>
      <c r="L5" s="67"/>
      <c r="M5" s="67"/>
      <c r="N5" s="67"/>
      <c r="O5" s="67"/>
      <c r="P5" s="67"/>
      <c r="Q5" s="29"/>
      <c r="R5" s="115" t="s">
        <v>189</v>
      </c>
      <c r="S5" s="116"/>
      <c r="T5" s="116"/>
      <c r="U5" s="116"/>
      <c r="V5" s="116"/>
    </row>
    <row r="6" spans="1:22">
      <c r="A6" s="30" t="s">
        <v>118</v>
      </c>
      <c r="B6" s="31" t="s">
        <v>9</v>
      </c>
      <c r="C6" s="31" t="s">
        <v>10</v>
      </c>
      <c r="D6" s="31" t="s">
        <v>12</v>
      </c>
      <c r="E6" s="31" t="s">
        <v>13</v>
      </c>
      <c r="F6" s="31" t="s">
        <v>188</v>
      </c>
      <c r="G6" s="32" t="s">
        <v>120</v>
      </c>
      <c r="H6" s="32" t="s">
        <v>121</v>
      </c>
      <c r="I6" s="32" t="s">
        <v>122</v>
      </c>
      <c r="J6" s="32" t="s">
        <v>123</v>
      </c>
      <c r="K6" s="32" t="s">
        <v>124</v>
      </c>
      <c r="L6" s="32" t="s">
        <v>125</v>
      </c>
      <c r="M6" s="32" t="s">
        <v>127</v>
      </c>
      <c r="N6" s="32" t="s">
        <v>128</v>
      </c>
      <c r="O6" s="32" t="s">
        <v>129</v>
      </c>
      <c r="P6" s="32" t="s">
        <v>17</v>
      </c>
      <c r="Q6" s="41" t="s">
        <v>18</v>
      </c>
      <c r="R6" s="69" t="s">
        <v>347</v>
      </c>
      <c r="S6" s="66" t="s">
        <v>15</v>
      </c>
      <c r="T6" s="66" t="s">
        <v>131</v>
      </c>
      <c r="U6" s="66"/>
      <c r="V6" s="68" t="s">
        <v>130</v>
      </c>
    </row>
    <row r="7" spans="1:22">
      <c r="A7" s="35" t="s">
        <v>132</v>
      </c>
      <c r="B7" s="35" t="s">
        <v>133</v>
      </c>
      <c r="C7" s="35" t="s">
        <v>133</v>
      </c>
      <c r="D7" s="35" t="s">
        <v>133</v>
      </c>
      <c r="E7" s="35"/>
      <c r="F7" s="35"/>
      <c r="G7" s="65" t="s">
        <v>134</v>
      </c>
      <c r="H7" s="65"/>
      <c r="I7" s="65"/>
      <c r="J7" s="65"/>
      <c r="K7" s="65" t="s">
        <v>133</v>
      </c>
      <c r="L7" s="65"/>
      <c r="M7" s="65"/>
      <c r="N7" s="65"/>
      <c r="O7" s="65" t="s">
        <v>133</v>
      </c>
      <c r="P7" s="65" t="s">
        <v>172</v>
      </c>
      <c r="Q7" s="42" t="s">
        <v>171</v>
      </c>
      <c r="R7" s="69"/>
      <c r="S7" s="66"/>
      <c r="T7" s="66"/>
      <c r="U7" s="66"/>
      <c r="V7" s="68"/>
    </row>
    <row r="8" spans="1:22">
      <c r="A8" s="20" t="s">
        <v>346</v>
      </c>
      <c r="B8" s="20">
        <v>480</v>
      </c>
      <c r="C8" s="20">
        <v>500</v>
      </c>
      <c r="D8" s="20">
        <v>40</v>
      </c>
      <c r="E8" s="20">
        <v>40</v>
      </c>
      <c r="G8" s="20">
        <v>56000</v>
      </c>
      <c r="H8" s="20">
        <v>2150000000</v>
      </c>
      <c r="I8" s="20">
        <v>8980000</v>
      </c>
      <c r="J8" s="20">
        <v>10400000</v>
      </c>
      <c r="K8" s="20">
        <v>196</v>
      </c>
      <c r="L8" s="20">
        <v>835000000</v>
      </c>
      <c r="M8" s="20">
        <v>3340000</v>
      </c>
      <c r="N8" s="20">
        <v>5160000</v>
      </c>
      <c r="O8" s="20">
        <v>122</v>
      </c>
      <c r="P8" s="20">
        <v>30100000</v>
      </c>
      <c r="Q8" s="20">
        <v>40400000000000</v>
      </c>
      <c r="T8" s="20">
        <v>1</v>
      </c>
      <c r="V8" s="20">
        <v>1</v>
      </c>
    </row>
    <row r="9" spans="1:22">
      <c r="A9" s="20" t="s">
        <v>345</v>
      </c>
      <c r="B9" s="20">
        <v>480</v>
      </c>
      <c r="C9" s="20">
        <v>500</v>
      </c>
      <c r="D9" s="20">
        <v>40</v>
      </c>
      <c r="E9" s="20">
        <v>32</v>
      </c>
      <c r="G9" s="20">
        <v>52800</v>
      </c>
      <c r="H9" s="20">
        <v>2110000000</v>
      </c>
      <c r="I9" s="20">
        <v>8800000</v>
      </c>
      <c r="J9" s="20">
        <v>10100000</v>
      </c>
      <c r="K9" s="20">
        <v>200</v>
      </c>
      <c r="L9" s="20">
        <v>834000000</v>
      </c>
      <c r="M9" s="20">
        <v>3340000</v>
      </c>
      <c r="N9" s="20">
        <v>5100000</v>
      </c>
      <c r="O9" s="20">
        <v>126</v>
      </c>
      <c r="P9" s="20">
        <v>25400000</v>
      </c>
      <c r="Q9" s="20">
        <v>40400000000000</v>
      </c>
      <c r="T9" s="20">
        <v>1</v>
      </c>
      <c r="V9" s="20">
        <v>1</v>
      </c>
    </row>
    <row r="10" spans="1:22">
      <c r="A10" s="20" t="s">
        <v>344</v>
      </c>
      <c r="B10" s="20">
        <v>472</v>
      </c>
      <c r="C10" s="20">
        <v>500</v>
      </c>
      <c r="D10" s="20">
        <v>36</v>
      </c>
      <c r="E10" s="20">
        <v>32</v>
      </c>
      <c r="G10" s="20">
        <v>48800</v>
      </c>
      <c r="H10" s="20">
        <v>1890000000</v>
      </c>
      <c r="I10" s="20">
        <v>7990000</v>
      </c>
      <c r="J10" s="20">
        <v>9130000</v>
      </c>
      <c r="K10" s="20">
        <v>197</v>
      </c>
      <c r="L10" s="20">
        <v>751000000</v>
      </c>
      <c r="M10" s="20">
        <v>3000000</v>
      </c>
      <c r="N10" s="20">
        <v>4600000</v>
      </c>
      <c r="O10" s="20">
        <v>124</v>
      </c>
      <c r="P10" s="20">
        <v>19900000</v>
      </c>
      <c r="Q10" s="20">
        <v>35700000000000</v>
      </c>
      <c r="T10" s="20">
        <v>1</v>
      </c>
      <c r="V10" s="20">
        <v>1</v>
      </c>
    </row>
    <row r="11" spans="1:22">
      <c r="A11" s="20" t="s">
        <v>343</v>
      </c>
      <c r="B11" s="20">
        <v>514</v>
      </c>
      <c r="C11" s="20">
        <v>500</v>
      </c>
      <c r="D11" s="20">
        <v>32</v>
      </c>
      <c r="E11" s="20">
        <v>25</v>
      </c>
      <c r="G11" s="20">
        <v>43200</v>
      </c>
      <c r="H11" s="20">
        <v>2050000000</v>
      </c>
      <c r="I11" s="20">
        <v>7980000</v>
      </c>
      <c r="J11" s="20">
        <v>8980000</v>
      </c>
      <c r="K11" s="20">
        <v>218</v>
      </c>
      <c r="L11" s="20">
        <v>667000000</v>
      </c>
      <c r="M11" s="20">
        <v>2670000</v>
      </c>
      <c r="N11" s="20">
        <v>4070000</v>
      </c>
      <c r="O11" s="20">
        <v>124</v>
      </c>
      <c r="P11" s="20">
        <v>13100000</v>
      </c>
      <c r="Q11" s="20">
        <v>38800000000000</v>
      </c>
      <c r="T11" s="20">
        <v>1</v>
      </c>
      <c r="V11" s="20">
        <v>1</v>
      </c>
    </row>
    <row r="12" spans="1:22">
      <c r="A12" s="20" t="s">
        <v>342</v>
      </c>
      <c r="B12" s="20">
        <v>506</v>
      </c>
      <c r="C12" s="20">
        <v>500</v>
      </c>
      <c r="D12" s="20">
        <v>28</v>
      </c>
      <c r="E12" s="20">
        <v>20</v>
      </c>
      <c r="G12" s="20">
        <v>37000</v>
      </c>
      <c r="H12" s="20">
        <v>1750000000</v>
      </c>
      <c r="I12" s="20">
        <v>6930000</v>
      </c>
      <c r="J12" s="20">
        <v>7700000</v>
      </c>
      <c r="K12" s="20">
        <v>218</v>
      </c>
      <c r="L12" s="20">
        <v>584000000</v>
      </c>
      <c r="M12" s="20">
        <v>2330000</v>
      </c>
      <c r="N12" s="20">
        <v>3540000</v>
      </c>
      <c r="O12" s="20">
        <v>126</v>
      </c>
      <c r="P12" s="20">
        <v>8420000</v>
      </c>
      <c r="Q12" s="20">
        <v>33300000000000</v>
      </c>
      <c r="T12" s="20">
        <v>1</v>
      </c>
      <c r="V12" s="20">
        <v>1</v>
      </c>
    </row>
    <row r="13" spans="1:22">
      <c r="A13" s="20" t="s">
        <v>341</v>
      </c>
      <c r="B13" s="20">
        <v>500</v>
      </c>
      <c r="C13" s="20">
        <v>500</v>
      </c>
      <c r="D13" s="20">
        <v>25</v>
      </c>
      <c r="E13" s="20">
        <v>20</v>
      </c>
      <c r="G13" s="20">
        <v>34000</v>
      </c>
      <c r="H13" s="20">
        <v>1560000000</v>
      </c>
      <c r="I13" s="20">
        <v>6250000</v>
      </c>
      <c r="J13" s="20">
        <v>6950000</v>
      </c>
      <c r="K13" s="20">
        <v>214</v>
      </c>
      <c r="L13" s="20">
        <v>521000000</v>
      </c>
      <c r="M13" s="20">
        <v>2080000</v>
      </c>
      <c r="N13" s="20">
        <v>3170000</v>
      </c>
      <c r="O13" s="20">
        <v>124</v>
      </c>
      <c r="P13" s="20">
        <v>6370000</v>
      </c>
      <c r="Q13" s="20">
        <v>29400000000000</v>
      </c>
      <c r="T13" s="20">
        <v>1</v>
      </c>
      <c r="V13" s="20">
        <v>1</v>
      </c>
    </row>
    <row r="14" spans="1:22">
      <c r="A14" s="20" t="s">
        <v>340</v>
      </c>
      <c r="B14" s="20">
        <v>490</v>
      </c>
      <c r="C14" s="20">
        <v>500</v>
      </c>
      <c r="D14" s="20">
        <v>20</v>
      </c>
      <c r="E14" s="20">
        <v>20</v>
      </c>
      <c r="G14" s="20">
        <v>29000</v>
      </c>
      <c r="H14" s="20">
        <v>1260000000</v>
      </c>
      <c r="I14" s="20">
        <v>5130000</v>
      </c>
      <c r="J14" s="20">
        <v>5710000</v>
      </c>
      <c r="K14" s="20">
        <v>208</v>
      </c>
      <c r="L14" s="20">
        <v>417000000</v>
      </c>
      <c r="M14" s="20">
        <v>1670000</v>
      </c>
      <c r="N14" s="20">
        <v>2540000</v>
      </c>
      <c r="O14" s="20">
        <v>120</v>
      </c>
      <c r="P14" s="20">
        <v>3880000</v>
      </c>
      <c r="Q14" s="20">
        <v>23000000000000</v>
      </c>
      <c r="T14" s="20">
        <v>1</v>
      </c>
      <c r="V14" s="20">
        <v>0.96399999999999997</v>
      </c>
    </row>
    <row r="15" spans="1:22">
      <c r="A15" s="20" t="s">
        <v>339</v>
      </c>
      <c r="B15" s="20">
        <v>430</v>
      </c>
      <c r="C15" s="20">
        <v>400</v>
      </c>
      <c r="D15" s="20">
        <v>40</v>
      </c>
      <c r="E15" s="20">
        <v>40</v>
      </c>
      <c r="G15" s="20">
        <v>46000</v>
      </c>
      <c r="H15" s="20">
        <v>1360000000</v>
      </c>
      <c r="I15" s="20">
        <v>6340000</v>
      </c>
      <c r="J15" s="20">
        <v>7460000</v>
      </c>
      <c r="K15" s="20">
        <v>172</v>
      </c>
      <c r="L15" s="20">
        <v>429000000</v>
      </c>
      <c r="M15" s="20">
        <v>2140000</v>
      </c>
      <c r="N15" s="20">
        <v>3340000</v>
      </c>
      <c r="O15" s="20">
        <v>96.5</v>
      </c>
      <c r="P15" s="20">
        <v>24800000</v>
      </c>
      <c r="Q15" s="20">
        <v>16300000000000</v>
      </c>
      <c r="T15" s="20">
        <v>1</v>
      </c>
      <c r="V15" s="20">
        <v>1</v>
      </c>
    </row>
    <row r="16" spans="1:22">
      <c r="A16" s="20" t="s">
        <v>338</v>
      </c>
      <c r="B16" s="20">
        <v>430</v>
      </c>
      <c r="C16" s="20">
        <v>400</v>
      </c>
      <c r="D16" s="20">
        <v>40</v>
      </c>
      <c r="E16" s="20">
        <v>28</v>
      </c>
      <c r="G16" s="20">
        <v>41800</v>
      </c>
      <c r="H16" s="20">
        <v>1320000000</v>
      </c>
      <c r="I16" s="20">
        <v>6140000</v>
      </c>
      <c r="J16" s="20">
        <v>7100000</v>
      </c>
      <c r="K16" s="20">
        <v>178</v>
      </c>
      <c r="L16" s="20">
        <v>427000000</v>
      </c>
      <c r="M16" s="20">
        <v>2140000</v>
      </c>
      <c r="N16" s="20">
        <v>3270000</v>
      </c>
      <c r="O16" s="20">
        <v>101</v>
      </c>
      <c r="P16" s="20">
        <v>19200000</v>
      </c>
      <c r="Q16" s="20">
        <v>16200000000000</v>
      </c>
      <c r="T16" s="20">
        <v>1</v>
      </c>
      <c r="V16" s="20">
        <v>1</v>
      </c>
    </row>
    <row r="17" spans="1:22">
      <c r="A17" s="20" t="s">
        <v>337</v>
      </c>
      <c r="B17" s="20">
        <v>422</v>
      </c>
      <c r="C17" s="20">
        <v>400</v>
      </c>
      <c r="D17" s="20">
        <v>36</v>
      </c>
      <c r="E17" s="20">
        <v>28</v>
      </c>
      <c r="G17" s="20">
        <v>38600</v>
      </c>
      <c r="H17" s="20">
        <v>1180000000</v>
      </c>
      <c r="I17" s="20">
        <v>5570000</v>
      </c>
      <c r="J17" s="20">
        <v>6420000</v>
      </c>
      <c r="K17" s="20">
        <v>175</v>
      </c>
      <c r="L17" s="20">
        <v>385000000</v>
      </c>
      <c r="M17" s="20">
        <v>1920000</v>
      </c>
      <c r="N17" s="20">
        <v>2950000</v>
      </c>
      <c r="O17" s="20">
        <v>99.8</v>
      </c>
      <c r="P17" s="20">
        <v>14800000</v>
      </c>
      <c r="Q17" s="20">
        <v>14300000000000</v>
      </c>
      <c r="T17" s="20">
        <v>1</v>
      </c>
      <c r="V17" s="20">
        <v>1</v>
      </c>
    </row>
    <row r="18" spans="1:22">
      <c r="A18" s="20" t="s">
        <v>336</v>
      </c>
      <c r="B18" s="20">
        <v>414</v>
      </c>
      <c r="C18" s="20">
        <v>400</v>
      </c>
      <c r="D18" s="20">
        <v>32</v>
      </c>
      <c r="E18" s="20">
        <v>25</v>
      </c>
      <c r="G18" s="20">
        <v>34400</v>
      </c>
      <c r="H18" s="20">
        <v>1030000000</v>
      </c>
      <c r="I18" s="20">
        <v>4950000</v>
      </c>
      <c r="J18" s="20">
        <v>5660000</v>
      </c>
      <c r="K18" s="20">
        <v>173</v>
      </c>
      <c r="L18" s="20">
        <v>342000000</v>
      </c>
      <c r="M18" s="20">
        <v>1710000</v>
      </c>
      <c r="N18" s="20">
        <v>2610000</v>
      </c>
      <c r="O18" s="20">
        <v>99.8</v>
      </c>
      <c r="P18" s="20">
        <v>10400000</v>
      </c>
      <c r="Q18" s="20">
        <v>12500000000000</v>
      </c>
      <c r="T18" s="20">
        <v>1</v>
      </c>
      <c r="V18" s="20">
        <v>1</v>
      </c>
    </row>
    <row r="19" spans="1:22">
      <c r="A19" s="20" t="s">
        <v>335</v>
      </c>
      <c r="B19" s="20">
        <v>400</v>
      </c>
      <c r="C19" s="20">
        <v>400</v>
      </c>
      <c r="D19" s="20">
        <v>25</v>
      </c>
      <c r="E19" s="20">
        <v>20</v>
      </c>
      <c r="G19" s="20">
        <v>27000</v>
      </c>
      <c r="H19" s="20">
        <v>776000000</v>
      </c>
      <c r="I19" s="20">
        <v>3880000</v>
      </c>
      <c r="J19" s="20">
        <v>4360000</v>
      </c>
      <c r="K19" s="20">
        <v>169</v>
      </c>
      <c r="L19" s="20">
        <v>267000000</v>
      </c>
      <c r="M19" s="20">
        <v>1330000</v>
      </c>
      <c r="N19" s="20">
        <v>2040000</v>
      </c>
      <c r="O19" s="20">
        <v>99.4</v>
      </c>
      <c r="P19" s="20">
        <v>5060000</v>
      </c>
      <c r="Q19" s="20">
        <v>9380000000000</v>
      </c>
      <c r="T19" s="20">
        <v>1</v>
      </c>
      <c r="V19" s="20">
        <v>1</v>
      </c>
    </row>
    <row r="20" spans="1:22">
      <c r="A20" s="20" t="s">
        <v>334</v>
      </c>
      <c r="B20" s="20">
        <v>390</v>
      </c>
      <c r="C20" s="20">
        <v>400</v>
      </c>
      <c r="D20" s="20">
        <v>20</v>
      </c>
      <c r="E20" s="20">
        <v>20</v>
      </c>
      <c r="G20" s="20">
        <v>23000</v>
      </c>
      <c r="H20" s="20">
        <v>620000000</v>
      </c>
      <c r="I20" s="20">
        <v>3180000</v>
      </c>
      <c r="J20" s="20">
        <v>3570000</v>
      </c>
      <c r="K20" s="20">
        <v>164</v>
      </c>
      <c r="L20" s="20">
        <v>214000000</v>
      </c>
      <c r="M20" s="20">
        <v>1070000</v>
      </c>
      <c r="N20" s="20">
        <v>1640000</v>
      </c>
      <c r="O20" s="20">
        <v>96.4</v>
      </c>
      <c r="P20" s="20">
        <v>3080000</v>
      </c>
      <c r="Q20" s="20">
        <v>7310000000000</v>
      </c>
      <c r="T20" s="20">
        <v>1</v>
      </c>
      <c r="V20" s="20">
        <v>1</v>
      </c>
    </row>
    <row r="21" spans="1:22">
      <c r="A21" s="20" t="s">
        <v>333</v>
      </c>
      <c r="B21" s="20">
        <v>382</v>
      </c>
      <c r="C21" s="20">
        <v>400</v>
      </c>
      <c r="D21" s="20">
        <v>16</v>
      </c>
      <c r="E21" s="20">
        <v>16</v>
      </c>
      <c r="G21" s="20">
        <v>18400</v>
      </c>
      <c r="H21" s="20">
        <v>486000000</v>
      </c>
      <c r="I21" s="20">
        <v>2550000</v>
      </c>
      <c r="J21" s="20">
        <v>2830000</v>
      </c>
      <c r="K21" s="20">
        <v>163</v>
      </c>
      <c r="L21" s="20">
        <v>171000000</v>
      </c>
      <c r="M21" s="20">
        <v>854000</v>
      </c>
      <c r="N21" s="20">
        <v>1300000</v>
      </c>
      <c r="O21" s="20">
        <v>96.3</v>
      </c>
      <c r="P21" s="20">
        <v>1580000</v>
      </c>
      <c r="Q21" s="20">
        <v>5720000000000</v>
      </c>
      <c r="T21" s="20">
        <v>1</v>
      </c>
      <c r="V21" s="20">
        <v>0.96399999999999997</v>
      </c>
    </row>
    <row r="22" spans="1:22">
      <c r="A22" s="20" t="s">
        <v>332</v>
      </c>
      <c r="B22" s="20">
        <v>355</v>
      </c>
      <c r="C22" s="20">
        <v>350</v>
      </c>
      <c r="D22" s="20">
        <v>40</v>
      </c>
      <c r="E22" s="20">
        <v>28</v>
      </c>
      <c r="G22" s="20">
        <v>35700</v>
      </c>
      <c r="H22" s="20">
        <v>747000000</v>
      </c>
      <c r="I22" s="20">
        <v>4210000</v>
      </c>
      <c r="J22" s="20">
        <v>4940000</v>
      </c>
      <c r="K22" s="20">
        <v>145</v>
      </c>
      <c r="L22" s="20">
        <v>286000000</v>
      </c>
      <c r="M22" s="20">
        <v>1640000</v>
      </c>
      <c r="N22" s="20">
        <v>2500000</v>
      </c>
      <c r="O22" s="20">
        <v>89.6</v>
      </c>
      <c r="P22" s="20">
        <v>16500000</v>
      </c>
      <c r="Q22" s="20">
        <v>7100000000000</v>
      </c>
      <c r="T22" s="20">
        <v>1</v>
      </c>
      <c r="V22" s="20">
        <v>1</v>
      </c>
    </row>
    <row r="23" spans="1:22">
      <c r="A23" s="20" t="s">
        <v>331</v>
      </c>
      <c r="B23" s="20">
        <v>347</v>
      </c>
      <c r="C23" s="20">
        <v>350</v>
      </c>
      <c r="D23" s="20">
        <v>36</v>
      </c>
      <c r="E23" s="20">
        <v>28</v>
      </c>
      <c r="G23" s="20">
        <v>32900</v>
      </c>
      <c r="H23" s="20">
        <v>661000000</v>
      </c>
      <c r="I23" s="20">
        <v>3810000</v>
      </c>
      <c r="J23" s="20">
        <v>4450000</v>
      </c>
      <c r="K23" s="20">
        <v>142</v>
      </c>
      <c r="L23" s="20">
        <v>258000000</v>
      </c>
      <c r="M23" s="20">
        <v>1470000</v>
      </c>
      <c r="N23" s="20">
        <v>2260000</v>
      </c>
      <c r="O23" s="20">
        <v>88.5</v>
      </c>
      <c r="P23" s="20">
        <v>12700000</v>
      </c>
      <c r="Q23" s="20">
        <v>6230000000000</v>
      </c>
      <c r="T23" s="20">
        <v>1</v>
      </c>
      <c r="V23" s="20">
        <v>1</v>
      </c>
    </row>
    <row r="24" spans="1:22">
      <c r="A24" s="20" t="s">
        <v>330</v>
      </c>
      <c r="B24" s="20">
        <v>339</v>
      </c>
      <c r="C24" s="20">
        <v>350</v>
      </c>
      <c r="D24" s="20">
        <v>32</v>
      </c>
      <c r="E24" s="20">
        <v>25</v>
      </c>
      <c r="G24" s="20">
        <v>29300</v>
      </c>
      <c r="H24" s="20">
        <v>573000000</v>
      </c>
      <c r="I24" s="20">
        <v>3380000</v>
      </c>
      <c r="J24" s="20">
        <v>3910000</v>
      </c>
      <c r="K24" s="20">
        <v>140</v>
      </c>
      <c r="L24" s="20">
        <v>229000000</v>
      </c>
      <c r="M24" s="20">
        <v>1310000</v>
      </c>
      <c r="N24" s="20">
        <v>2000000</v>
      </c>
      <c r="O24" s="20">
        <v>88.4</v>
      </c>
      <c r="P24" s="20">
        <v>8960000</v>
      </c>
      <c r="Q24" s="20">
        <v>5400000000000</v>
      </c>
      <c r="T24" s="20">
        <v>1</v>
      </c>
      <c r="V24" s="20">
        <v>1</v>
      </c>
    </row>
    <row r="25" spans="1:22">
      <c r="A25" s="20" t="s">
        <v>329</v>
      </c>
      <c r="B25" s="20">
        <v>331</v>
      </c>
      <c r="C25" s="20">
        <v>350</v>
      </c>
      <c r="D25" s="20">
        <v>28</v>
      </c>
      <c r="E25" s="20">
        <v>20</v>
      </c>
      <c r="G25" s="20">
        <v>25100</v>
      </c>
      <c r="H25" s="20">
        <v>486000000</v>
      </c>
      <c r="I25" s="20">
        <v>2940000</v>
      </c>
      <c r="J25" s="20">
        <v>3350000</v>
      </c>
      <c r="K25" s="20">
        <v>139</v>
      </c>
      <c r="L25" s="20">
        <v>200000000</v>
      </c>
      <c r="M25" s="20">
        <v>1140000</v>
      </c>
      <c r="N25" s="20">
        <v>1740000</v>
      </c>
      <c r="O25" s="20">
        <v>89.3</v>
      </c>
      <c r="P25" s="20">
        <v>5750000</v>
      </c>
      <c r="Q25" s="20">
        <v>4600000000000</v>
      </c>
      <c r="T25" s="20">
        <v>1</v>
      </c>
      <c r="V25" s="20">
        <v>1</v>
      </c>
    </row>
  </sheetData>
  <mergeCells count="3">
    <mergeCell ref="H4:K4"/>
    <mergeCell ref="L4:O4"/>
    <mergeCell ref="R5:V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CF7C-EEB5-406A-AC56-0EB069986217}">
  <sheetPr codeName="Sheet2"/>
  <dimension ref="A2:BD72"/>
  <sheetViews>
    <sheetView topLeftCell="A55" workbookViewId="0">
      <selection activeCell="C70" sqref="C70"/>
    </sheetView>
  </sheetViews>
  <sheetFormatPr defaultRowHeight="14.4"/>
  <cols>
    <col min="1" max="1" width="8.88671875" style="74"/>
    <col min="2" max="2" width="12" customWidth="1"/>
    <col min="3" max="3" width="11.5546875" bestFit="1" customWidth="1"/>
    <col min="9" max="9" width="9.44140625" customWidth="1"/>
    <col min="10" max="10" width="9.5546875" customWidth="1"/>
    <col min="11" max="12" width="9.5546875" style="74" customWidth="1"/>
    <col min="14" max="14" width="50.5546875" customWidth="1"/>
    <col min="15" max="15" width="22.5546875" customWidth="1"/>
    <col min="19" max="19" width="81.109375" customWidth="1"/>
    <col min="20" max="20" width="9.33203125" customWidth="1"/>
    <col min="21" max="21" width="20.6640625" customWidth="1"/>
  </cols>
  <sheetData>
    <row r="2" spans="2:33">
      <c r="B2" s="81" t="s">
        <v>6</v>
      </c>
      <c r="I2" t="s">
        <v>377</v>
      </c>
      <c r="N2" s="3" t="s">
        <v>21</v>
      </c>
      <c r="O2" s="4"/>
      <c r="P2" s="4"/>
      <c r="Q2" s="5"/>
      <c r="S2" t="s">
        <v>98</v>
      </c>
      <c r="U2" s="3" t="s">
        <v>76</v>
      </c>
      <c r="V2" s="4" t="s">
        <v>77</v>
      </c>
      <c r="W2" s="4" t="s">
        <v>78</v>
      </c>
      <c r="X2" s="4" t="s">
        <v>79</v>
      </c>
      <c r="Y2" s="4" t="s">
        <v>80</v>
      </c>
      <c r="Z2" s="5" t="s">
        <v>81</v>
      </c>
    </row>
    <row r="3" spans="2:33">
      <c r="B3" t="s">
        <v>20</v>
      </c>
      <c r="I3" s="76"/>
      <c r="J3" t="s">
        <v>378</v>
      </c>
      <c r="N3" s="1" t="s">
        <v>52</v>
      </c>
      <c r="O3" s="2" t="s">
        <v>53</v>
      </c>
      <c r="P3" s="2" t="s">
        <v>54</v>
      </c>
      <c r="Q3" s="6"/>
      <c r="S3" t="str">
        <f>T3&amp;U3&amp;V3&amp;W3</f>
        <v>Uniform CompressionFlatOneSR</v>
      </c>
      <c r="T3" s="1" t="s">
        <v>88</v>
      </c>
      <c r="U3" s="1" t="s">
        <v>82</v>
      </c>
      <c r="V3" s="2" t="s">
        <v>83</v>
      </c>
      <c r="W3" s="2" t="s">
        <v>84</v>
      </c>
      <c r="X3" s="2">
        <v>10</v>
      </c>
      <c r="Y3" s="2">
        <v>16</v>
      </c>
      <c r="Z3" s="6">
        <v>35</v>
      </c>
      <c r="AC3" s="79" t="s">
        <v>107</v>
      </c>
      <c r="AD3" s="79"/>
      <c r="AE3" s="82" t="s">
        <v>111</v>
      </c>
      <c r="AF3" s="82" t="s">
        <v>112</v>
      </c>
      <c r="AG3" s="82" t="s">
        <v>113</v>
      </c>
    </row>
    <row r="4" spans="2:33">
      <c r="I4" s="79"/>
      <c r="J4" t="s">
        <v>379</v>
      </c>
      <c r="N4" s="1" t="s">
        <v>22</v>
      </c>
      <c r="O4" s="2"/>
      <c r="P4" s="2"/>
      <c r="Q4" s="6"/>
      <c r="S4" t="str">
        <f t="shared" ref="S4:S18" si="0">T4&amp;U4&amp;V4&amp;W4</f>
        <v>Uniform CompressionFlatOneHR</v>
      </c>
      <c r="T4" s="1" t="s">
        <v>88</v>
      </c>
      <c r="U4" s="1" t="s">
        <v>82</v>
      </c>
      <c r="V4" s="2" t="s">
        <v>83</v>
      </c>
      <c r="W4" s="2" t="s">
        <v>85</v>
      </c>
      <c r="X4" s="2">
        <v>9</v>
      </c>
      <c r="Y4" s="2">
        <v>16</v>
      </c>
      <c r="Z4" s="6">
        <v>35</v>
      </c>
      <c r="AC4" s="79" t="s">
        <v>108</v>
      </c>
      <c r="AD4" s="79">
        <f ca="1">MIN(AC26,1.5*AB26)</f>
        <v>15499.439999999999</v>
      </c>
      <c r="AE4" s="79">
        <f ca="1">IF(C14&gt;C21,VLOOKUP(B12&amp;IF(Inputs!C4="CHS","","Flat")&amp;"Both"&amp;Inputs!G5,Moment_Calculations!S2:Z22,6,0),VLOOKUP(B19&amp;IF(Inputs!C4="CHS","","Flat")&amp;"Both"&amp;Inputs!G5,Moment_Calculations!S2:Z22,6,0))</f>
        <v>82</v>
      </c>
      <c r="AF4" s="79">
        <f ca="1">IF(C14&gt;C21,VLOOKUP(B12&amp;IF(Inputs!C4="CHS","","Flat")&amp;"Both"&amp;Inputs!G5,Moment_Calculations!S2:Z22,7,0),VLOOKUP(B19&amp;IF(Inputs!C4="CHS","","Flat")&amp;"Both"&amp;Inputs!G5,Moment_Calculations!S2:Z22,7,0))</f>
        <v>115</v>
      </c>
      <c r="AG4" s="79">
        <f ca="1">IF(C14&gt;C21,C11,C18)</f>
        <v>60.249481325568269</v>
      </c>
    </row>
    <row r="5" spans="2:33">
      <c r="B5" t="s">
        <v>75</v>
      </c>
      <c r="C5">
        <f>Inputs!C8</f>
        <v>7.4</v>
      </c>
      <c r="N5" s="1" t="s">
        <v>23</v>
      </c>
      <c r="O5" s="2" t="s">
        <v>55</v>
      </c>
      <c r="P5" s="2">
        <v>0.9</v>
      </c>
      <c r="Q5" s="6"/>
      <c r="S5" t="str">
        <f t="shared" si="0"/>
        <v>Uniform CompressionFlatOneLW,CF</v>
      </c>
      <c r="T5" s="1" t="s">
        <v>88</v>
      </c>
      <c r="U5" s="1" t="s">
        <v>82</v>
      </c>
      <c r="V5" s="2" t="s">
        <v>83</v>
      </c>
      <c r="W5" s="2" t="s">
        <v>86</v>
      </c>
      <c r="X5" s="2">
        <v>8</v>
      </c>
      <c r="Y5" s="2">
        <v>15</v>
      </c>
      <c r="Z5" s="6">
        <v>35</v>
      </c>
      <c r="AC5" s="79" t="s">
        <v>109</v>
      </c>
      <c r="AD5" s="79">
        <f ca="1">AF26+(((AF5-AG5)/(AF5-AE5))*(MIN(AG26,1.5*AF26)-AF26))</f>
        <v>389.69485572202967</v>
      </c>
      <c r="AE5" s="79">
        <f ca="1">IF(C14&gt;C21,VLOOKUP(B12&amp;IF(Inputs!C4="CHS","","Flat")&amp;"Both"&amp;Inputs!G5,Moment_Calculations!S2:Z22,6,0),VLOOKUP(B19&amp;IF(Inputs!C4="CHS","","Flat")&amp;"Both"&amp;Inputs!G5,Moment_Calculations!S2:Z22,6,0))</f>
        <v>82</v>
      </c>
      <c r="AF5" s="79">
        <f ca="1">IF(C14&gt;C21,VLOOKUP(B12&amp;IF(Inputs!C4="CHS","","Flat")&amp;"Both"&amp;Inputs!G5,Moment_Calculations!S2:Z22,7,0),VLOOKUP(B19&amp;IF(Inputs!C4="CHS","","Flat")&amp;"Both"&amp;Inputs!G5,Moment_Calculations!S2:Z22,7,0))</f>
        <v>115</v>
      </c>
      <c r="AG5" s="79">
        <f ca="1">IF(C14&gt;C21,C11,C18)</f>
        <v>60.249481325568269</v>
      </c>
    </row>
    <row r="6" spans="2:33">
      <c r="N6" s="1" t="s">
        <v>24</v>
      </c>
      <c r="O6" s="2" t="s">
        <v>56</v>
      </c>
      <c r="P6" s="2">
        <v>0.9</v>
      </c>
      <c r="Q6" s="6"/>
      <c r="S6" t="str">
        <f t="shared" si="0"/>
        <v>Uniform CompressionFlatOneHW</v>
      </c>
      <c r="T6" s="1" t="s">
        <v>88</v>
      </c>
      <c r="U6" s="1" t="s">
        <v>82</v>
      </c>
      <c r="V6" s="2" t="s">
        <v>83</v>
      </c>
      <c r="W6" s="2" t="s">
        <v>87</v>
      </c>
      <c r="X6" s="2">
        <v>8</v>
      </c>
      <c r="Y6" s="2">
        <v>14</v>
      </c>
      <c r="Z6" s="6">
        <v>35</v>
      </c>
      <c r="AC6" s="79" t="s">
        <v>110</v>
      </c>
      <c r="AD6" s="79">
        <f ca="1">IF(X31="Uniform compression",AF26*(AF6/AG6),AF26*(AF6/AG6)^2)</f>
        <v>776.012396694215</v>
      </c>
      <c r="AE6" s="79">
        <f ca="1">IF(C14&gt;C21,VLOOKUP(B12&amp;IF(Inputs!C4="CHS","","Flat")&amp;"Both"&amp;Inputs!G5,Moment_Calculations!S2:Z22,6,0),VLOOKUP(B19&amp;IF(Inputs!C4="CHS","","Flat")&amp;"Both"&amp;Inputs!G5,Moment_Calculations!S2:Z22,6,0))</f>
        <v>82</v>
      </c>
      <c r="AF6" s="79">
        <f ca="1">IF(C14&gt;C21,VLOOKUP(B12&amp;IF(Inputs!C4="CHS","","Flat")&amp;"Both"&amp;Inputs!G5,Moment_Calculations!S2:Z22,7,0),VLOOKUP(B19&amp;IF(Inputs!C4="CHS","","Flat")&amp;"Both"&amp;Inputs!G5,Moment_Calculations!S2:Z22,7,0))</f>
        <v>115</v>
      </c>
      <c r="AG6" s="79">
        <f ca="1">IF(C14&gt;C21,C11,C18)</f>
        <v>60.249481325568269</v>
      </c>
    </row>
    <row r="7" spans="2:33">
      <c r="B7" t="s">
        <v>93</v>
      </c>
      <c r="N7" s="1" t="s">
        <v>25</v>
      </c>
      <c r="O7" s="2" t="s">
        <v>57</v>
      </c>
      <c r="P7" s="2">
        <v>0.9</v>
      </c>
      <c r="Q7" s="6"/>
      <c r="S7" t="str">
        <f t="shared" si="0"/>
        <v>Maximum compression at unsupported edge, zero stress or tension at supported edgeFlatOneSR</v>
      </c>
      <c r="T7" s="1" t="s">
        <v>117</v>
      </c>
      <c r="U7" s="1" t="s">
        <v>82</v>
      </c>
      <c r="V7" s="2" t="s">
        <v>83</v>
      </c>
      <c r="W7" s="2" t="s">
        <v>84</v>
      </c>
      <c r="X7" s="2">
        <v>10</v>
      </c>
      <c r="Y7" s="2">
        <v>25</v>
      </c>
      <c r="Z7" s="6"/>
    </row>
    <row r="8" spans="2:33">
      <c r="N8" s="1" t="s">
        <v>26</v>
      </c>
      <c r="O8" s="2">
        <v>5.13</v>
      </c>
      <c r="P8" s="2">
        <v>0.9</v>
      </c>
      <c r="Q8" s="6"/>
      <c r="S8" t="str">
        <f t="shared" si="0"/>
        <v>Maximum compression at unsupported edge, zero stress or tension at supported edgeFlatOneHR</v>
      </c>
      <c r="T8" s="1" t="s">
        <v>117</v>
      </c>
      <c r="U8" s="1" t="s">
        <v>82</v>
      </c>
      <c r="V8" s="2" t="s">
        <v>83</v>
      </c>
      <c r="W8" s="2" t="s">
        <v>85</v>
      </c>
      <c r="X8" s="2">
        <v>9</v>
      </c>
      <c r="Y8" s="2">
        <v>25</v>
      </c>
      <c r="Z8" s="6"/>
      <c r="AC8" s="74"/>
      <c r="AD8" s="74"/>
      <c r="AE8" s="10"/>
      <c r="AF8" s="10"/>
      <c r="AG8" s="10"/>
    </row>
    <row r="9" spans="2:33">
      <c r="B9" t="s">
        <v>95</v>
      </c>
      <c r="N9" s="1" t="s">
        <v>27</v>
      </c>
      <c r="O9" s="2" t="s">
        <v>58</v>
      </c>
      <c r="P9" s="2">
        <v>0.9</v>
      </c>
      <c r="Q9" s="6"/>
      <c r="S9" t="str">
        <f t="shared" si="0"/>
        <v>Maximum compression at unsupported edge, zero stress or tension at supported edgeFlatOneLW,CF</v>
      </c>
      <c r="T9" s="1" t="s">
        <v>117</v>
      </c>
      <c r="U9" s="1" t="s">
        <v>82</v>
      </c>
      <c r="V9" s="2" t="s">
        <v>83</v>
      </c>
      <c r="W9" s="2" t="s">
        <v>86</v>
      </c>
      <c r="X9" s="2">
        <v>8</v>
      </c>
      <c r="Y9" s="2">
        <v>22</v>
      </c>
      <c r="Z9" s="6"/>
      <c r="AC9" s="74"/>
      <c r="AD9" s="74"/>
      <c r="AE9" s="74"/>
      <c r="AF9" s="74"/>
      <c r="AG9" s="74"/>
    </row>
    <row r="10" spans="2:33">
      <c r="B10" t="s">
        <v>106</v>
      </c>
      <c r="N10" s="1" t="s">
        <v>28</v>
      </c>
      <c r="O10" s="2"/>
      <c r="P10" s="2"/>
      <c r="Q10" s="6"/>
      <c r="S10" t="str">
        <f t="shared" si="0"/>
        <v>Maximum compression at unsupported edge, zero stress or tension at supported edgeFlatOneHW</v>
      </c>
      <c r="T10" s="1" t="s">
        <v>117</v>
      </c>
      <c r="U10" s="1" t="s">
        <v>82</v>
      </c>
      <c r="V10" s="2" t="s">
        <v>83</v>
      </c>
      <c r="W10" s="2" t="s">
        <v>87</v>
      </c>
      <c r="X10" s="2">
        <v>8</v>
      </c>
      <c r="Y10" s="2">
        <v>22</v>
      </c>
      <c r="Z10" s="6"/>
      <c r="AC10" s="74"/>
      <c r="AD10" s="74"/>
      <c r="AE10" s="74"/>
      <c r="AF10" s="74"/>
      <c r="AG10" s="74"/>
    </row>
    <row r="11" spans="2:33">
      <c r="B11" s="10" t="s">
        <v>96</v>
      </c>
      <c r="C11" s="13">
        <f ca="1">U26/X26*SQRT(300/250)</f>
        <v>60.249481325568269</v>
      </c>
      <c r="N11" s="1" t="s">
        <v>29</v>
      </c>
      <c r="O11" s="2" t="s">
        <v>59</v>
      </c>
      <c r="P11" s="2">
        <v>0.9</v>
      </c>
      <c r="Q11" s="6"/>
      <c r="S11" t="str">
        <f t="shared" si="0"/>
        <v>Uniform CompressionFlatBothSR</v>
      </c>
      <c r="T11" s="1" t="s">
        <v>88</v>
      </c>
      <c r="U11" s="1" t="s">
        <v>82</v>
      </c>
      <c r="V11" s="2" t="s">
        <v>89</v>
      </c>
      <c r="W11" s="2" t="s">
        <v>84</v>
      </c>
      <c r="X11" s="2">
        <v>30</v>
      </c>
      <c r="Y11" s="2">
        <v>45</v>
      </c>
      <c r="Z11" s="6">
        <v>90</v>
      </c>
      <c r="AC11" s="74"/>
      <c r="AD11" s="74"/>
      <c r="AE11" s="74"/>
      <c r="AF11" s="74"/>
      <c r="AG11" s="74"/>
    </row>
    <row r="12" spans="2:33">
      <c r="B12" s="79" t="str">
        <f ca="1">IF((-Inputs!C8/Moment_Calculations!AA26+Inputs!C10)&gt;0, "Uniform compression","Compression at one edge, tension at the other")</f>
        <v>Compression at one edge, tension at the other</v>
      </c>
      <c r="N12" s="1" t="s">
        <v>30</v>
      </c>
      <c r="O12" s="2" t="s">
        <v>60</v>
      </c>
      <c r="P12" s="2">
        <v>0.9</v>
      </c>
      <c r="Q12" s="6"/>
      <c r="S12" t="str">
        <f t="shared" si="0"/>
        <v>Uniform CompressionFlatBothHR</v>
      </c>
      <c r="T12" s="1" t="s">
        <v>88</v>
      </c>
      <c r="U12" s="1" t="s">
        <v>82</v>
      </c>
      <c r="V12" s="2" t="s">
        <v>89</v>
      </c>
      <c r="W12" s="2" t="s">
        <v>85</v>
      </c>
      <c r="X12" s="2">
        <v>30</v>
      </c>
      <c r="Y12" s="2">
        <v>45</v>
      </c>
      <c r="Z12" s="6">
        <v>90</v>
      </c>
    </row>
    <row r="13" spans="2:33">
      <c r="B13" s="10" t="s">
        <v>97</v>
      </c>
      <c r="C13">
        <f ca="1">VLOOKUP(B12&amp;IF(Inputs!C4="CHS","","Flat")&amp;"Both"&amp;Inputs!G5,Moment_Calculations!S2:Z22,7,0)</f>
        <v>115</v>
      </c>
      <c r="E13" t="s">
        <v>104</v>
      </c>
      <c r="N13" s="1" t="s">
        <v>31</v>
      </c>
      <c r="O13" s="2" t="s">
        <v>61</v>
      </c>
      <c r="P13" s="2">
        <v>0.9</v>
      </c>
      <c r="Q13" s="6"/>
      <c r="S13" t="str">
        <f t="shared" si="0"/>
        <v>Uniform CompressionFlatBothLW,CF</v>
      </c>
      <c r="T13" s="1" t="s">
        <v>88</v>
      </c>
      <c r="U13" s="1" t="s">
        <v>82</v>
      </c>
      <c r="V13" s="2" t="s">
        <v>89</v>
      </c>
      <c r="W13" s="2" t="s">
        <v>86</v>
      </c>
      <c r="X13" s="2">
        <v>30</v>
      </c>
      <c r="Y13" s="2">
        <v>40</v>
      </c>
      <c r="Z13" s="6">
        <v>90</v>
      </c>
    </row>
    <row r="14" spans="2:33">
      <c r="B14" s="10" t="s">
        <v>101</v>
      </c>
      <c r="C14" s="13">
        <f ca="1">C11/C13</f>
        <v>0.52390853326581099</v>
      </c>
      <c r="E14" s="79" t="str">
        <f ca="1">IF(C11&lt;VLOOKUP(B12&amp;IF(Inputs!C4="CHS","","Flat")&amp;"Both"&amp;Inputs!G5,Moment_Calculations!S2:Z22,6,0),"Compact",IF(C11&lt;VLOOKUP(B12&amp;IF(Inputs!C4="CHS","","Flat")&amp;"Both"&amp;Inputs!G5,Moment_Calculations!S2:Z22,7,0),"non-compact","slender"))</f>
        <v>Compact</v>
      </c>
      <c r="N14" s="1" t="s">
        <v>32</v>
      </c>
      <c r="O14" s="2"/>
      <c r="P14" s="2"/>
      <c r="Q14" s="6"/>
      <c r="S14" t="str">
        <f t="shared" si="0"/>
        <v>Uniform CompressionFlatBothHW</v>
      </c>
      <c r="T14" s="1" t="s">
        <v>88</v>
      </c>
      <c r="U14" s="1" t="s">
        <v>82</v>
      </c>
      <c r="V14" s="2" t="s">
        <v>89</v>
      </c>
      <c r="W14" s="2" t="s">
        <v>87</v>
      </c>
      <c r="X14" s="2">
        <v>30</v>
      </c>
      <c r="Y14" s="2">
        <v>35</v>
      </c>
      <c r="Z14" s="6">
        <v>90</v>
      </c>
    </row>
    <row r="15" spans="2:33">
      <c r="B15" s="10"/>
      <c r="N15" s="1" t="s">
        <v>29</v>
      </c>
      <c r="O15" s="2">
        <v>8.3000000000000007</v>
      </c>
      <c r="P15" s="2">
        <v>0.9</v>
      </c>
      <c r="Q15" s="6"/>
      <c r="S15" t="str">
        <f t="shared" si="0"/>
        <v>Compression at one edge, tension at the otherFlatBothSR</v>
      </c>
      <c r="T15" s="11" t="s">
        <v>99</v>
      </c>
      <c r="U15" s="1" t="s">
        <v>82</v>
      </c>
      <c r="V15" s="2" t="s">
        <v>89</v>
      </c>
      <c r="W15" s="2" t="s">
        <v>84</v>
      </c>
      <c r="X15" s="2">
        <v>82</v>
      </c>
      <c r="Y15" s="2">
        <v>115</v>
      </c>
      <c r="Z15" s="6"/>
    </row>
    <row r="16" spans="2:33">
      <c r="B16" s="10" t="s">
        <v>102</v>
      </c>
      <c r="N16" s="1" t="s">
        <v>30</v>
      </c>
      <c r="O16" s="2">
        <v>8.4</v>
      </c>
      <c r="P16" s="2">
        <v>0.9</v>
      </c>
      <c r="Q16" s="6"/>
      <c r="S16" t="str">
        <f t="shared" si="0"/>
        <v>Compression at one edge, tension at the otherFlatBothHR</v>
      </c>
      <c r="T16" s="11" t="s">
        <v>99</v>
      </c>
      <c r="U16" s="1" t="s">
        <v>82</v>
      </c>
      <c r="V16" s="2" t="s">
        <v>89</v>
      </c>
      <c r="W16" s="14" t="s">
        <v>85</v>
      </c>
      <c r="X16" s="2">
        <v>82</v>
      </c>
      <c r="Y16" s="2">
        <v>115</v>
      </c>
    </row>
    <row r="17" spans="2:56">
      <c r="B17" s="10" t="s">
        <v>11</v>
      </c>
      <c r="N17" s="1" t="s">
        <v>33</v>
      </c>
      <c r="O17" s="2" t="s">
        <v>62</v>
      </c>
      <c r="P17" s="2">
        <v>0.9</v>
      </c>
      <c r="Q17" s="6"/>
      <c r="S17" t="str">
        <f t="shared" si="0"/>
        <v>Compression at one edge, tension at the otherFlatBothLW,CF</v>
      </c>
      <c r="T17" s="11" t="s">
        <v>99</v>
      </c>
      <c r="U17" s="1" t="s">
        <v>82</v>
      </c>
      <c r="V17" s="2" t="s">
        <v>89</v>
      </c>
      <c r="W17" s="14" t="s">
        <v>86</v>
      </c>
      <c r="X17" s="2">
        <v>82</v>
      </c>
      <c r="Y17" s="2">
        <v>115</v>
      </c>
    </row>
    <row r="18" spans="2:56">
      <c r="B18" s="10" t="s">
        <v>96</v>
      </c>
      <c r="C18" s="13">
        <f ca="1">IF(Inputs!C4 = "PFC",(V26-X26)/W26*SQRT(280/250),(V26-X26)/2/W26*SQRT(280/250))</f>
        <v>7.9933759307012036</v>
      </c>
      <c r="N18" s="1"/>
      <c r="O18" s="2" t="s">
        <v>63</v>
      </c>
      <c r="P18" s="2">
        <v>0.75</v>
      </c>
      <c r="Q18" s="6"/>
      <c r="S18" t="str">
        <f t="shared" si="0"/>
        <v>Compression at one edge, tension at the otherFlatBothHW</v>
      </c>
      <c r="T18" s="11" t="s">
        <v>99</v>
      </c>
      <c r="U18" s="1" t="s">
        <v>82</v>
      </c>
      <c r="V18" s="2" t="s">
        <v>89</v>
      </c>
      <c r="W18" s="14" t="s">
        <v>87</v>
      </c>
      <c r="X18" s="2">
        <v>82</v>
      </c>
      <c r="Y18" s="2">
        <v>115</v>
      </c>
    </row>
    <row r="19" spans="2:56">
      <c r="B19" s="79" t="s">
        <v>88</v>
      </c>
      <c r="N19" s="1" t="s">
        <v>34</v>
      </c>
      <c r="O19" s="2"/>
      <c r="P19" s="2"/>
      <c r="Q19" s="6"/>
      <c r="S19" t="str">
        <f>T19&amp;U19&amp;V19&amp;W19</f>
        <v>Circular hollow sectionsSR</v>
      </c>
      <c r="T19" s="1" t="s">
        <v>92</v>
      </c>
      <c r="V19" s="2"/>
      <c r="W19" s="2" t="s">
        <v>84</v>
      </c>
      <c r="X19" s="2">
        <v>50</v>
      </c>
      <c r="Y19" s="2">
        <v>120</v>
      </c>
      <c r="Z19" s="6"/>
    </row>
    <row r="20" spans="2:56">
      <c r="B20" s="10" t="s">
        <v>97</v>
      </c>
      <c r="C20">
        <f>VLOOKUP(B19&amp;IF(Inputs!C4="CHS","","Flat")&amp;"Both"&amp;Inputs!G5,Moment_Calculations!S2:Z22,7,0)</f>
        <v>45</v>
      </c>
      <c r="E20" t="s">
        <v>104</v>
      </c>
      <c r="N20" s="1" t="s">
        <v>35</v>
      </c>
      <c r="O20" s="2" t="s">
        <v>64</v>
      </c>
      <c r="P20" s="2">
        <v>0.8</v>
      </c>
      <c r="Q20" s="6"/>
      <c r="S20" t="str">
        <f>T20&amp;U20&amp;V20&amp;W20</f>
        <v>Circular hollow sectionsHR,CF</v>
      </c>
      <c r="T20" s="1" t="s">
        <v>92</v>
      </c>
      <c r="U20" s="1"/>
      <c r="V20" s="2"/>
      <c r="W20" s="2" t="s">
        <v>90</v>
      </c>
      <c r="X20" s="2">
        <v>50</v>
      </c>
      <c r="Y20" s="2">
        <v>120</v>
      </c>
      <c r="Z20" s="6"/>
    </row>
    <row r="21" spans="2:56">
      <c r="B21" s="10" t="s">
        <v>101</v>
      </c>
      <c r="C21" s="12">
        <f ca="1">C18/C20</f>
        <v>0.17763057623780451</v>
      </c>
      <c r="E21" t="str">
        <f ca="1">IF(C18&lt;VLOOKUP(B19&amp;IF(Inputs!C11="CHS","","Flat")&amp;"Both"&amp;Inputs!G5,Moment_Calculations!S2:Z22,6,0),"Compact",IF(C18&lt;VLOOKUP(B19&amp;IF(Inputs!C11="CHS","","Flat")&amp;"Both"&amp;Inputs!G5,Moment_Calculations!S2:Z22,7,0),"non-compact","slender"))</f>
        <v>Compact</v>
      </c>
      <c r="N21" s="1" t="s">
        <v>36</v>
      </c>
      <c r="O21" s="2" t="s">
        <v>65</v>
      </c>
      <c r="P21" s="2">
        <v>0.8</v>
      </c>
      <c r="Q21" s="6"/>
      <c r="S21" t="str">
        <f>T21&amp;U21&amp;V21&amp;W21</f>
        <v>Circular hollow sectionsLW</v>
      </c>
      <c r="T21" s="1" t="s">
        <v>92</v>
      </c>
      <c r="U21" s="1"/>
      <c r="V21" s="2"/>
      <c r="W21" s="2" t="s">
        <v>91</v>
      </c>
      <c r="X21" s="2">
        <v>42</v>
      </c>
      <c r="Y21" s="2">
        <v>120</v>
      </c>
      <c r="Z21" s="6"/>
    </row>
    <row r="22" spans="2:56">
      <c r="N22" s="1" t="s">
        <v>37</v>
      </c>
      <c r="O22" s="2" t="s">
        <v>66</v>
      </c>
      <c r="P22" s="2">
        <v>0.8</v>
      </c>
      <c r="Q22" s="6"/>
      <c r="S22" t="str">
        <f>T22&amp;U22&amp;V22&amp;W22</f>
        <v>Circular hollow sectionsHW</v>
      </c>
      <c r="T22" s="1" t="s">
        <v>92</v>
      </c>
      <c r="U22" s="7"/>
      <c r="V22" s="8"/>
      <c r="W22" s="8" t="s">
        <v>87</v>
      </c>
      <c r="X22" s="8">
        <v>42</v>
      </c>
      <c r="Y22" s="8">
        <v>120</v>
      </c>
      <c r="Z22" s="9"/>
    </row>
    <row r="23" spans="2:56">
      <c r="B23" t="s">
        <v>103</v>
      </c>
      <c r="D23" t="s">
        <v>105</v>
      </c>
      <c r="N23" s="1" t="s">
        <v>38</v>
      </c>
      <c r="O23" s="2" t="s">
        <v>67</v>
      </c>
      <c r="P23" s="2">
        <v>0.9</v>
      </c>
      <c r="Q23" s="6"/>
    </row>
    <row r="24" spans="2:56">
      <c r="B24" t="str">
        <f ca="1">IF(C14&gt;C21,"Web", "Flange")</f>
        <v>Web</v>
      </c>
      <c r="D24" s="79" t="str">
        <f ca="1">IF(C14&gt;C21,E14,E21)</f>
        <v>Compact</v>
      </c>
      <c r="N24" s="1" t="s">
        <v>39</v>
      </c>
      <c r="O24" s="2">
        <v>9.3000000000000007</v>
      </c>
      <c r="P24" s="2">
        <v>0.8</v>
      </c>
      <c r="Q24" s="6"/>
      <c r="S24" t="s">
        <v>94</v>
      </c>
    </row>
    <row r="25" spans="2:56">
      <c r="N25" s="1" t="s">
        <v>40</v>
      </c>
      <c r="O25" s="2"/>
      <c r="P25" s="2"/>
      <c r="Q25" s="6"/>
      <c r="S25" t="str">
        <f ca="1">VLOOKUP("Designation", INDIRECT("'"&amp;Inputs!$C$4&amp;"'!"&amp;"$A$1:$AJ$55"),1,FALSE)</f>
        <v>Designation</v>
      </c>
      <c r="U25" t="str">
        <f ca="1">VLOOKUP("   d        b       t", INDIRECT("'"&amp;Inputs!$C$4&amp;"'!"&amp;"$A$1:$AJ$55"),2,FALSE)</f>
        <v>d</v>
      </c>
      <c r="V25" t="str">
        <f ca="1">VLOOKUP("   d        b       t", INDIRECT("'"&amp;Inputs!$C$4&amp;"'!"&amp;"$A$1:$AJ$55"),3,FALSE)</f>
        <v>bf</v>
      </c>
      <c r="W25" t="str">
        <f ca="1">VLOOKUP("   d        b       t", INDIRECT("'"&amp;Inputs!$C$4&amp;"'!"&amp;"$A$1:$AJ$55"),4,FALSE)</f>
        <v>tf</v>
      </c>
      <c r="X25" t="str">
        <f ca="1">VLOOKUP("   d        b       t", INDIRECT("'"&amp;Inputs!$C$4&amp;"'!"&amp;"$A$1:$AJ$55"),5,FALSE)</f>
        <v>tw</v>
      </c>
      <c r="Y25" t="str">
        <f ca="1">VLOOKUP("   d        b       t", INDIRECT("'"&amp;Inputs!$C$4&amp;"'!"&amp;"$A$1:$AJ$55"),6,FALSE)</f>
        <v>r1</v>
      </c>
      <c r="Z25" t="str">
        <f ca="1">VLOOKUP("   d        b       t", INDIRECT("'"&amp;Inputs!$C$4&amp;"'!"&amp;"$A$1:$AJ$55"),7,FALSE)</f>
        <v>As</v>
      </c>
      <c r="AA25" t="str">
        <f ca="1">VLOOKUP("   d        b       t", INDIRECT("'"&amp;Inputs!$C$4&amp;"'!"&amp;"$A$1:$AJ$55"),8,FALSE)</f>
        <v>Ag</v>
      </c>
      <c r="AB25" t="str">
        <f ca="1">VLOOKUP("   d        b       t", INDIRECT("'"&amp;Inputs!$C$4&amp;"'!"&amp;"$A$1:$AJ$55"),9,FALSE)</f>
        <v>Calc. Ag</v>
      </c>
      <c r="AC25" t="str">
        <f ca="1">VLOOKUP("   d        b       t", INDIRECT("'"&amp;Inputs!$C$4&amp;"'!"&amp;"$A$1:$AJ$55"),10,FALSE)</f>
        <v>Ix</v>
      </c>
      <c r="AD25" t="str">
        <f ca="1">VLOOKUP("   d        b       t", INDIRECT("'"&amp;Inputs!$C$4&amp;"'!"&amp;"$A$1:$AJ$55"),11,FALSE)</f>
        <v>Zx</v>
      </c>
      <c r="AE25" t="str">
        <f ca="1">VLOOKUP("   d        b       t", INDIRECT("'"&amp;Inputs!$C$4&amp;"'!"&amp;"$A$1:$AJ$55"),12,FALSE)</f>
        <v>Sx</v>
      </c>
      <c r="AF25" t="str">
        <f ca="1">VLOOKUP("   d        b       t", INDIRECT("'"&amp;Inputs!$C$4&amp;"'!"&amp;"$A$1:$AJ$55"),13,FALSE)</f>
        <v>rx</v>
      </c>
      <c r="AG25" t="str">
        <f ca="1">VLOOKUP("   d        b       t", INDIRECT("'"&amp;Inputs!$C$4&amp;"'!"&amp;"$A$1:$AJ$55"),14,FALSE)</f>
        <v>Iy</v>
      </c>
      <c r="AH25" t="str">
        <f ca="1">VLOOKUP("   d        b       t", INDIRECT("'"&amp;Inputs!$C$4&amp;"'!"&amp;"$A$1:$AJ$55"),15,FALSE)</f>
        <v>Zy</v>
      </c>
      <c r="AI25" t="str">
        <f ca="1">VLOOKUP("   d        b       t", INDIRECT("'"&amp;Inputs!$C$4&amp;"'!"&amp;"$A$1:$AJ$55"),16,FALSE)</f>
        <v>Sy</v>
      </c>
      <c r="AJ25" t="str">
        <f ca="1">VLOOKUP("   d        b       t", INDIRECT("'"&amp;Inputs!$C$4&amp;"'!"&amp;"$A$1:$AJ$55"),17,FALSE)</f>
        <v>ry</v>
      </c>
      <c r="AK25" t="str">
        <f ca="1">VLOOKUP("   d        b       t", INDIRECT("'"&amp;Inputs!$C$4&amp;"'!"&amp;"$A$1:$AJ$55"),18,FALSE)</f>
        <v>J</v>
      </c>
      <c r="AL25" t="str">
        <f ca="1">VLOOKUP("   d        b       t", INDIRECT("'"&amp;Inputs!$C$4&amp;"'!"&amp;"$A$1:$AJ$55"),19,FALSE)</f>
        <v>Iw</v>
      </c>
      <c r="AM25" t="str">
        <f ca="1">VLOOKUP("   d        b       t", INDIRECT("'"&amp;Inputs!$C$4&amp;"'!"&amp;"$A$1:$AJ$55"),20,FALSE)</f>
        <v>(PhiMsx)</v>
      </c>
      <c r="AN25" t="str">
        <f ca="1">VLOOKUP("   d        b       t", INDIRECT("'"&amp;Inputs!$C$4&amp;"'!"&amp;"$A$1:$AJ$55"),21,FALSE)</f>
        <v>(PhiMsy)</v>
      </c>
      <c r="AO25" t="str">
        <f ca="1">VLOOKUP("   d        b       t", INDIRECT("'"&amp;Inputs!$C$4&amp;"'!"&amp;"$A$1:$AJ$55"),22,FALSE)</f>
        <v>d1</v>
      </c>
      <c r="AP25" s="74" t="str">
        <f ca="1">VLOOKUP("   d        b       t", INDIRECT("'"&amp;Inputs!$C$4&amp;"'!"&amp;"$A$1:$AJ$55"),23,FALSE)</f>
        <v>(bf-tw)/2</v>
      </c>
      <c r="AQ25" s="74" t="str">
        <f ca="1">VLOOKUP("   d        b       t", INDIRECT("'"&amp;Inputs!$C$4&amp;"'!"&amp;"$A$1:$AJ$55"),24,FALSE)</f>
        <v>nw</v>
      </c>
      <c r="AR25" s="74" t="str">
        <f ca="1">VLOOKUP("   d        b       t", INDIRECT("'"&amp;Inputs!$C$4&amp;"'!"&amp;"$A$1:$AJ$55"),25,FALSE)</f>
        <v>fyw</v>
      </c>
      <c r="AS25" s="74" t="str">
        <f ca="1">VLOOKUP("   d        b       t", INDIRECT("'"&amp;Inputs!$C$4&amp;"'!"&amp;"$A$1:$AJ$55"),26,FALSE)</f>
        <v>fyf</v>
      </c>
      <c r="AT25" s="74" t="str">
        <f ca="1">VLOOKUP("   d        b       t", INDIRECT("'"&amp;Inputs!$C$4&amp;"'!"&amp;"$A$1:$AJ$55"),27,FALSE)</f>
        <v>kf</v>
      </c>
      <c r="AU25" s="74" t="str">
        <f ca="1">VLOOKUP("   d        b       t", INDIRECT("'"&amp;Inputs!$C$4&amp;"'!"&amp;"$A$1:$AJ$55"),28,FALSE)</f>
        <v>kf override</v>
      </c>
      <c r="AV25" s="74" t="str">
        <f ca="1">VLOOKUP("   d        b       t", INDIRECT("'"&amp;Inputs!$C$4&amp;"'!"&amp;"$A$1:$AJ$55"),29,FALSE)</f>
        <v>λey (web)</v>
      </c>
      <c r="AW25" s="74" t="str">
        <f ca="1">VLOOKUP("   d        b       t", INDIRECT("'"&amp;Inputs!$C$4&amp;"'!"&amp;"$A$1:$AJ$55"),30,FALSE)</f>
        <v>λey (flange)</v>
      </c>
      <c r="AX25" s="74" t="str">
        <f ca="1">VLOOKUP("   d        b       t", INDIRECT("'"&amp;Inputs!$C$4&amp;"'!"&amp;"$A$1:$AJ$55"),31,FALSE)</f>
        <v>λe (web)</v>
      </c>
      <c r="AY25" s="74" t="str">
        <f ca="1">VLOOKUP("   d        b       t", INDIRECT("'"&amp;Inputs!$C$4&amp;"'!"&amp;"$A$1:$AJ$55"),32,FALSE)</f>
        <v>λe (flange)</v>
      </c>
      <c r="AZ25" s="74" t="str">
        <f ca="1">VLOOKUP("   d        b       t", INDIRECT("'"&amp;Inputs!$C$4&amp;"'!"&amp;"$A$1:$AJ$55"),33,FALSE)</f>
        <v>be (web)</v>
      </c>
      <c r="BA25" s="74" t="str">
        <f ca="1">VLOOKUP("   d        b       t", INDIRECT("'"&amp;Inputs!$C$4&amp;"'!"&amp;"$A$1:$AJ$55"),34,FALSE)</f>
        <v>be (flange)</v>
      </c>
      <c r="BB25" s="74" t="str">
        <f ca="1">VLOOKUP("   d        b       t", INDIRECT("'"&amp;Inputs!$C$4&amp;"'!"&amp;"$A$1:$AJ$55"),35,FALSE)</f>
        <v>Ae</v>
      </c>
      <c r="BC25" s="74" t="str">
        <f ca="1">VLOOKUP("   d        b       t", INDIRECT("'"&amp;Inputs!$C$4&amp;"'!"&amp;"$A$1:$AJ$55"),36,FALSE)</f>
        <v>Root Radius Area</v>
      </c>
      <c r="BD25" s="74" t="e">
        <f ca="1">VLOOKUP("   d        b       t", INDIRECT("'"&amp;Inputs!$C$4&amp;"'!"&amp;"$A$1:$AJ$55"),37,FALSE)</f>
        <v>#REF!</v>
      </c>
    </row>
    <row r="26" spans="2:56">
      <c r="B26" t="s">
        <v>107</v>
      </c>
      <c r="C26" s="13">
        <f ca="1">VLOOKUP(D24,AC4:AD6,2,0)</f>
        <v>15499.439999999999</v>
      </c>
      <c r="N26" s="1" t="s">
        <v>41</v>
      </c>
      <c r="O26" s="2" t="s">
        <v>68</v>
      </c>
      <c r="P26" s="2">
        <v>0.8</v>
      </c>
      <c r="Q26" s="6"/>
      <c r="T26" t="str">
        <f ca="1">VLOOKUP(Inputs!$C$5, INDIRECT("'"&amp;Inputs!$C$4&amp;"'!"&amp;"$A$5:$AJ$55"),1,FALSE)</f>
        <v>530UB82</v>
      </c>
      <c r="U26">
        <f ca="1">VLOOKUP(Inputs!$C$5, INDIRECT("'"&amp;Inputs!$C$4&amp;"'!"&amp;"$A$5:$AJ$55"),2,FALSE)</f>
        <v>528</v>
      </c>
      <c r="V26">
        <f ca="1">VLOOKUP(Inputs!$C$5, INDIRECT("'"&amp;Inputs!$C$4&amp;"'!"&amp;"$A$5:$AJ$55"),3,FALSE)</f>
        <v>209</v>
      </c>
      <c r="W26">
        <f ca="1">VLOOKUP(Inputs!$C$5, INDIRECT("'"&amp;Inputs!$C$4&amp;"'!"&amp;"$A$5:$AJ$55"),4,FALSE)</f>
        <v>13.2</v>
      </c>
      <c r="X26">
        <f ca="1">VLOOKUP(Inputs!$C$5, INDIRECT("'"&amp;Inputs!$C$4&amp;"'!"&amp;"$A$5:$AJ$55"),5,FALSE)</f>
        <v>9.6</v>
      </c>
      <c r="Y26">
        <f ca="1">VLOOKUP(Inputs!$C$5, INDIRECT("'"&amp;Inputs!$C$4&amp;"'!"&amp;"$A$5:$AJ$55"),6,FALSE)</f>
        <v>14</v>
      </c>
      <c r="Z26">
        <f ca="1">VLOOKUP(Inputs!$C$5, INDIRECT("'"&amp;Inputs!$C$4&amp;"'!"&amp;"$A$5:$AJ$55"),7,FALSE)</f>
        <v>0</v>
      </c>
      <c r="AA26">
        <f ca="1">VLOOKUP(Inputs!$C$5, INDIRECT("'"&amp;Inputs!$C$4&amp;"'!"&amp;"$A$5:$AJ$55"),8,FALSE)</f>
        <v>10500</v>
      </c>
      <c r="AB26">
        <f ca="1">VLOOKUP(Inputs!$C$5, INDIRECT("'"&amp;Inputs!$C$4&amp;"'!"&amp;"$A$5:$AJ$55"),9,FALSE)</f>
        <v>10332.959999999999</v>
      </c>
      <c r="AC26">
        <f ca="1">VLOOKUP(Inputs!$C$5, INDIRECT("'"&amp;Inputs!$C$4&amp;"'!"&amp;"$A$5:$AJ$55"),10,FALSE)</f>
        <v>477000000</v>
      </c>
      <c r="AD26">
        <f ca="1">VLOOKUP(Inputs!$C$5, INDIRECT("'"&amp;Inputs!$C$4&amp;"'!"&amp;"$A$5:$AJ$55"),11,FALSE)</f>
        <v>1810000</v>
      </c>
      <c r="AE26">
        <f ca="1">VLOOKUP(Inputs!$C$5, INDIRECT("'"&amp;Inputs!$C$4&amp;"'!"&amp;"$A$5:$AJ$55"),12,FALSE)</f>
        <v>2070000</v>
      </c>
      <c r="AF26">
        <f ca="1">VLOOKUP(Inputs!$C$5, INDIRECT("'"&amp;Inputs!$C$4&amp;"'!"&amp;"$A$5:$AJ$55"),13,FALSE)</f>
        <v>213</v>
      </c>
      <c r="AG26">
        <f ca="1">VLOOKUP(Inputs!$C$5, INDIRECT("'"&amp;Inputs!$C$4&amp;"'!"&amp;"$A$5:$AJ$55"),14,FALSE)</f>
        <v>20100000</v>
      </c>
      <c r="AH26">
        <f ca="1">VLOOKUP(Inputs!$C$5, INDIRECT("'"&amp;Inputs!$C$4&amp;"'!"&amp;"$A$5:$AJ$55"),15,FALSE)</f>
        <v>193000</v>
      </c>
      <c r="AI26">
        <f ca="1">VLOOKUP(Inputs!$C$5, INDIRECT("'"&amp;Inputs!$C$4&amp;"'!"&amp;"$A$5:$AJ$55"),16,FALSE)</f>
        <v>301000</v>
      </c>
      <c r="AJ26">
        <f ca="1">VLOOKUP(Inputs!$C$5, INDIRECT("'"&amp;Inputs!$C$4&amp;"'!"&amp;"$A$5:$AJ$55"),17,FALSE)</f>
        <v>43.8</v>
      </c>
      <c r="AK26">
        <f ca="1">VLOOKUP(Inputs!$C$5, INDIRECT("'"&amp;Inputs!$C$4&amp;"'!"&amp;"$A$5:$AJ$55"),18,FALSE)</f>
        <v>526000</v>
      </c>
      <c r="AL26">
        <f ca="1">VLOOKUP(Inputs!$C$5, INDIRECT("'"&amp;Inputs!$C$4&amp;"'!"&amp;"$A$5:$AJ$55"),19,FALSE)</f>
        <v>1330000000000</v>
      </c>
      <c r="AM26">
        <f ca="1">VLOOKUP(Inputs!$C$5, INDIRECT("'"&amp;Inputs!$C$4&amp;"'!"&amp;"$A$5:$AJ$55"),20,FALSE)</f>
        <v>0</v>
      </c>
      <c r="AN26">
        <f ca="1">VLOOKUP(Inputs!$C$5, INDIRECT("'"&amp;Inputs!$C$4&amp;"'!"&amp;"$A$5:$AJ$55"),21,FALSE)</f>
        <v>0</v>
      </c>
      <c r="AO26">
        <f ca="1">VLOOKUP(Inputs!$C$5, INDIRECT("'"&amp;Inputs!$C$4&amp;"'!"&amp;"$A$5:$AJ$55"),22,FALSE)</f>
        <v>501.6</v>
      </c>
      <c r="AP26" s="74">
        <f ca="1">VLOOKUP(Inputs!$C$5, INDIRECT("'"&amp;Inputs!$C$4&amp;"'!"&amp;"$A$5:$AJ$55"),23,FALSE)</f>
        <v>99.7</v>
      </c>
      <c r="AQ26" s="74">
        <f ca="1">VLOOKUP(Inputs!$C$5, INDIRECT("'"&amp;Inputs!$C$4&amp;"'!"&amp;"$A$5:$AJ$55"),24,FALSE)</f>
        <v>1</v>
      </c>
      <c r="AR26" s="74">
        <f ca="1">VLOOKUP(Inputs!$C$5, INDIRECT("'"&amp;Inputs!$C$4&amp;"'!"&amp;"$A$5:$AJ$55"),25,FALSE)</f>
        <v>320</v>
      </c>
      <c r="AS26" s="74">
        <f ca="1">VLOOKUP(Inputs!$C$5, INDIRECT("'"&amp;Inputs!$C$4&amp;"'!"&amp;"$A$5:$AJ$55"),26,FALSE)</f>
        <v>300</v>
      </c>
      <c r="AT26" s="74">
        <f ca="1">VLOOKUP(Inputs!$C$5, INDIRECT("'"&amp;Inputs!$C$4&amp;"'!"&amp;"$A$5:$AJ$55"),27,FALSE)</f>
        <v>0.90200000000000002</v>
      </c>
      <c r="AU26" s="74">
        <f ca="1">VLOOKUP(Inputs!$C$5, INDIRECT("'"&amp;Inputs!$C$4&amp;"'!"&amp;"$A$5:$AJ$55"),28,FALSE)</f>
        <v>0.90200000000000002</v>
      </c>
      <c r="AV26" s="74">
        <f ca="1">VLOOKUP(Inputs!$C$5, INDIRECT("'"&amp;Inputs!$C$4&amp;"'!"&amp;"$A$5:$AJ$55"),29,FALSE)</f>
        <v>45</v>
      </c>
      <c r="AW26" s="74">
        <f ca="1">VLOOKUP(Inputs!$C$5, INDIRECT("'"&amp;Inputs!$C$4&amp;"'!"&amp;"$A$5:$AJ$55"),30,FALSE)</f>
        <v>16</v>
      </c>
      <c r="AX26" s="74">
        <f ca="1">VLOOKUP(Inputs!$C$5, INDIRECT("'"&amp;Inputs!$C$4&amp;"'!"&amp;"$A$5:$AJ$55"),31,FALSE)</f>
        <v>59.114126907195377</v>
      </c>
      <c r="AY26" s="74">
        <f ca="1">VLOOKUP(Inputs!$C$5, INDIRECT("'"&amp;Inputs!$C$4&amp;"'!"&amp;"$A$5:$AJ$55"),32,FALSE)</f>
        <v>8.273930148979554</v>
      </c>
      <c r="AZ26" s="74">
        <f ca="1">VLOOKUP(Inputs!$C$5, INDIRECT("'"&amp;Inputs!$C$4&amp;"'!"&amp;"$A$5:$AJ$55"),33,FALSE)</f>
        <v>381.83766184073568</v>
      </c>
      <c r="BA26" s="74">
        <f ca="1">VLOOKUP(Inputs!$C$5, INDIRECT("'"&amp;Inputs!$C$4&amp;"'!"&amp;"$A$5:$AJ$55"),34,FALSE)</f>
        <v>99.7</v>
      </c>
      <c r="BB26" s="74">
        <f ca="1">VLOOKUP(Inputs!$C$5, INDIRECT("'"&amp;Inputs!$C$4&amp;"'!"&amp;"$A$5:$AJ$55"),35,FALSE)</f>
        <v>9183.2415536710632</v>
      </c>
      <c r="BC26" s="74">
        <f ca="1">VLOOKUP(Inputs!$C$5, INDIRECT("'"&amp;Inputs!$C$4&amp;"'!"&amp;"$A$5:$AJ$55"),36,FALSE)</f>
        <v>0</v>
      </c>
      <c r="BD26" s="74" t="e">
        <f ca="1">VLOOKUP(Inputs!$C$5, INDIRECT("'"&amp;Inputs!$C$4&amp;"'!"&amp;"$A$5:$AJ$55"),37,FALSE)</f>
        <v>#REF!</v>
      </c>
    </row>
    <row r="27" spans="2:56">
      <c r="N27" s="1" t="s">
        <v>42</v>
      </c>
      <c r="O27" s="2" t="s">
        <v>69</v>
      </c>
      <c r="P27" s="2">
        <v>0.8</v>
      </c>
      <c r="Q27" s="6"/>
    </row>
    <row r="28" spans="2:56">
      <c r="B28" t="s">
        <v>114</v>
      </c>
      <c r="N28" s="1" t="s">
        <v>43</v>
      </c>
      <c r="O28" s="2" t="s">
        <v>70</v>
      </c>
      <c r="P28" s="2">
        <v>0.8</v>
      </c>
      <c r="Q28" s="6"/>
    </row>
    <row r="29" spans="2:56">
      <c r="B29" t="s">
        <v>116</v>
      </c>
      <c r="C29" s="80">
        <f ca="1">P5*AO26*C26/1000000</f>
        <v>6.9970671935999995</v>
      </c>
      <c r="D29" t="s">
        <v>115</v>
      </c>
      <c r="N29" s="1" t="s">
        <v>38</v>
      </c>
      <c r="O29" s="2" t="s">
        <v>71</v>
      </c>
      <c r="P29" s="2">
        <v>0.9</v>
      </c>
      <c r="Q29" s="6"/>
    </row>
    <row r="30" spans="2:56">
      <c r="N30" s="1" t="s">
        <v>44</v>
      </c>
      <c r="O30" s="2"/>
      <c r="P30" s="2" t="s">
        <v>50</v>
      </c>
      <c r="Q30" s="6" t="s">
        <v>51</v>
      </c>
    </row>
    <row r="31" spans="2:56">
      <c r="B31" t="s">
        <v>371</v>
      </c>
      <c r="N31" s="1" t="s">
        <v>45</v>
      </c>
      <c r="O31" s="2" t="s">
        <v>72</v>
      </c>
      <c r="P31" s="2">
        <v>0.9</v>
      </c>
      <c r="Q31" s="6">
        <v>0.6</v>
      </c>
    </row>
    <row r="32" spans="2:56">
      <c r="B32" s="10" t="s">
        <v>372</v>
      </c>
      <c r="C32" s="76">
        <v>1</v>
      </c>
      <c r="N32" s="1" t="s">
        <v>46</v>
      </c>
      <c r="O32" s="2" t="s">
        <v>73</v>
      </c>
      <c r="P32" s="2">
        <v>0.7</v>
      </c>
      <c r="Q32" s="6"/>
    </row>
    <row r="33" spans="2:33">
      <c r="B33" s="10" t="s">
        <v>374</v>
      </c>
      <c r="C33" s="78">
        <f ca="1">SQRT((((PI()^2*200*10^9*AE26*10^-12)/C34^2)*(80*10^9*AJ26*10^-12+(PI()^2*200*10^9*AK26*10^-18/C34^2))))/1000</f>
        <v>4.3081132183419211</v>
      </c>
      <c r="N33" s="1" t="s">
        <v>47</v>
      </c>
      <c r="O33" s="2" t="s">
        <v>73</v>
      </c>
      <c r="P33" s="2">
        <v>0.8</v>
      </c>
      <c r="Q33" s="6">
        <v>0.6</v>
      </c>
    </row>
    <row r="34" spans="2:33">
      <c r="B34" s="10" t="s">
        <v>375</v>
      </c>
      <c r="C34" s="79">
        <v>1</v>
      </c>
      <c r="N34" s="1" t="s">
        <v>48</v>
      </c>
      <c r="O34" s="2" t="s">
        <v>74</v>
      </c>
      <c r="P34" s="2">
        <v>0.8</v>
      </c>
      <c r="Q34" s="6">
        <v>0.6</v>
      </c>
    </row>
    <row r="35" spans="2:33">
      <c r="B35" s="10" t="s">
        <v>373</v>
      </c>
      <c r="C35">
        <f ca="1">0.6*(SQRT(((C29/P5/C33)^2)+3)-(C29/P5/C33))</f>
        <v>0.41802573012804156</v>
      </c>
      <c r="N35" s="7" t="s">
        <v>49</v>
      </c>
      <c r="O35" s="8">
        <v>9.6999999999999993</v>
      </c>
      <c r="P35" s="8">
        <v>0.8</v>
      </c>
      <c r="Q35" s="9">
        <v>0.6</v>
      </c>
    </row>
    <row r="36" spans="2:33">
      <c r="B36" s="10" t="s">
        <v>376</v>
      </c>
      <c r="C36" s="78">
        <f ca="1">MIN(C29*C35,C29)</f>
        <v>2.9249541223596065</v>
      </c>
    </row>
    <row r="38" spans="2:33">
      <c r="B38" s="81" t="s">
        <v>384</v>
      </c>
      <c r="C38" s="74"/>
      <c r="D38" s="74"/>
      <c r="E38" s="74"/>
    </row>
    <row r="39" spans="2:33">
      <c r="B39" s="74" t="s">
        <v>20</v>
      </c>
      <c r="C39" s="74"/>
      <c r="D39" s="74"/>
      <c r="E39" s="74"/>
      <c r="AC39" s="79" t="s">
        <v>107</v>
      </c>
      <c r="AD39" s="79"/>
      <c r="AE39" s="82" t="s">
        <v>111</v>
      </c>
      <c r="AF39" s="82" t="s">
        <v>112</v>
      </c>
      <c r="AG39" s="82" t="s">
        <v>113</v>
      </c>
    </row>
    <row r="40" spans="2:33">
      <c r="B40" s="74"/>
      <c r="C40" s="74"/>
      <c r="D40" s="74"/>
      <c r="E40" s="74"/>
      <c r="AC40" s="79" t="s">
        <v>108</v>
      </c>
      <c r="AD40" s="79">
        <f ca="1">MIN(AE26,1.5*AD26)</f>
        <v>2070000</v>
      </c>
      <c r="AE40" s="79">
        <f ca="1">IF(C50&gt;C57,VLOOKUP(B48&amp;IF(Inputs!C4="CHS","","Flat")&amp;"Both"&amp;Inputs!G5,Moment_Calculations!S2:Z22,6,0),VLOOKUP(B55&amp;IF(Inputs!C4="CHS","","Flat")&amp;"Both"&amp;Inputs!G5,Moment_Calculations!S2:Z22,6,0))</f>
        <v>82</v>
      </c>
      <c r="AF40" s="79" t="e">
        <f ca="1">IF(C50&gt;C57,VLOOKUP(B48&amp;IF(Inputs!C40="CHS","","Flat")&amp;"Both"&amp;Inputs!G41,Moment_Calculations!S38:Z58,7,0),VLOOKUP(B55&amp;IF(Inputs!C40="CHS","","Flat")&amp;"Both"&amp;Inputs!G41,Moment_Calculations!S38:Z58,7,0))</f>
        <v>#N/A</v>
      </c>
      <c r="AG40" s="79">
        <f ca="1">IF(C50&gt;C57,C47,C54)</f>
        <v>60.249481325568269</v>
      </c>
    </row>
    <row r="41" spans="2:33">
      <c r="B41" s="74" t="s">
        <v>75</v>
      </c>
      <c r="C41" s="74">
        <f>Inputs!C8</f>
        <v>7.4</v>
      </c>
      <c r="D41" s="74"/>
      <c r="E41" s="74"/>
      <c r="AC41" s="79" t="s">
        <v>109</v>
      </c>
      <c r="AD41" s="79" t="e">
        <f ca="1">AF62+(((AF41-AG41)/(AF41-AE41))*(MIN(AG62,1.5*AF62)-AF62))</f>
        <v>#N/A</v>
      </c>
      <c r="AE41" s="79" t="e">
        <f ca="1">IF(C50&gt;C57,VLOOKUP(B48&amp;IF(Inputs!C40="CHS","","Flat")&amp;"Both"&amp;Inputs!G41,Moment_Calculations!S38:Z58,6,0),VLOOKUP(B55&amp;IF(Inputs!C40="CHS","","Flat")&amp;"Both"&amp;Inputs!G41,Moment_Calculations!S38:Z58,6,0))</f>
        <v>#N/A</v>
      </c>
      <c r="AF41" s="79" t="e">
        <f ca="1">IF(C50&gt;C57,VLOOKUP(B48&amp;IF(Inputs!C40="CHS","","Flat")&amp;"Both"&amp;Inputs!G41,Moment_Calculations!S38:Z58,7,0),VLOOKUP(B55&amp;IF(Inputs!C40="CHS","","Flat")&amp;"Both"&amp;Inputs!G41,Moment_Calculations!S38:Z58,7,0))</f>
        <v>#N/A</v>
      </c>
      <c r="AG41" s="79">
        <f ca="1">IF(C50&gt;C57,C47,C54)</f>
        <v>60.249481325568269</v>
      </c>
    </row>
    <row r="42" spans="2:33">
      <c r="B42" s="74"/>
      <c r="C42" s="74"/>
      <c r="D42" s="74"/>
      <c r="E42" s="74"/>
      <c r="AC42" s="79" t="s">
        <v>110</v>
      </c>
      <c r="AD42" s="79" t="e">
        <f ca="1">IF(X67="Uniform compression",AF62*(AF42/AG42),AF62*(AF42/AG42)^2)</f>
        <v>#N/A</v>
      </c>
      <c r="AE42" s="79" t="e">
        <f ca="1">IF(C50&gt;C57,VLOOKUP(B48&amp;IF(Inputs!C40="CHS","","Flat")&amp;"Both"&amp;Inputs!G41,Moment_Calculations!S38:Z58,6,0),VLOOKUP(B55&amp;IF(Inputs!C40="CHS","","Flat")&amp;"Both"&amp;Inputs!G41,Moment_Calculations!S38:Z58,6,0))</f>
        <v>#N/A</v>
      </c>
      <c r="AF42" s="79" t="e">
        <f ca="1">IF(C50&gt;C57,VLOOKUP(B48&amp;IF(Inputs!C40="CHS","","Flat")&amp;"Both"&amp;Inputs!G41,Moment_Calculations!S38:Z58,7,0),VLOOKUP(B55&amp;IF(Inputs!C40="CHS","","Flat")&amp;"Both"&amp;Inputs!G41,Moment_Calculations!S38:Z58,7,0))</f>
        <v>#N/A</v>
      </c>
      <c r="AG42" s="79">
        <f ca="1">IF(C50&gt;C57,C47,C54)</f>
        <v>60.249481325568269</v>
      </c>
    </row>
    <row r="43" spans="2:33">
      <c r="B43" s="74" t="s">
        <v>93</v>
      </c>
      <c r="C43" s="74"/>
      <c r="D43" s="74"/>
      <c r="E43" s="74"/>
    </row>
    <row r="44" spans="2:33">
      <c r="B44" s="74"/>
      <c r="C44" s="74"/>
      <c r="D44" s="74"/>
      <c r="E44" s="74"/>
    </row>
    <row r="45" spans="2:33">
      <c r="B45" s="74" t="s">
        <v>95</v>
      </c>
      <c r="C45" s="74"/>
      <c r="D45" s="74"/>
      <c r="E45" s="74"/>
    </row>
    <row r="46" spans="2:33">
      <c r="B46" s="74" t="s">
        <v>106</v>
      </c>
      <c r="C46" s="74"/>
      <c r="D46" s="74"/>
      <c r="E46" s="74"/>
    </row>
    <row r="47" spans="2:33">
      <c r="B47" s="10" t="s">
        <v>96</v>
      </c>
      <c r="C47" s="78">
        <f ca="1">U26/X26*SQRT(300/250)</f>
        <v>60.249481325568269</v>
      </c>
      <c r="D47" s="74"/>
      <c r="E47" s="74"/>
    </row>
    <row r="48" spans="2:33">
      <c r="B48" s="79" t="str">
        <f ca="1">IF((-Inputs!C8/Moment_Calculations!AA26+Inputs!C10)&gt;0, "Uniform compression","Compression at one edge, tension at the other")</f>
        <v>Compression at one edge, tension at the other</v>
      </c>
      <c r="C48" s="74"/>
      <c r="D48" s="74"/>
      <c r="E48" s="74"/>
    </row>
    <row r="49" spans="2:5">
      <c r="B49" s="10" t="s">
        <v>97</v>
      </c>
      <c r="C49" s="74">
        <f ca="1">VLOOKUP(B12&amp;IF(Inputs!C4="CHS","","Flat")&amp;"Both"&amp;Inputs!G5,Moment_Calculations!S2:Z22,7,0)</f>
        <v>115</v>
      </c>
      <c r="D49" s="74"/>
      <c r="E49" s="74" t="s">
        <v>104</v>
      </c>
    </row>
    <row r="50" spans="2:5">
      <c r="B50" s="10" t="s">
        <v>101</v>
      </c>
      <c r="C50" s="78">
        <f ca="1">C47/C49</f>
        <v>0.52390853326581099</v>
      </c>
      <c r="D50" s="74"/>
      <c r="E50" s="79" t="str">
        <f ca="1">IF(C47&lt;VLOOKUP(B48&amp;IF(Inputs!C4="CHS","","Flat")&amp;"Both"&amp;Inputs!G5,Moment_Calculations!S2:Z22,6,0),"Compact",IF(C47&lt;VLOOKUP(B48&amp;IF(Inputs!C4="CHS","","Flat")&amp;"Both"&amp;Inputs!G5,Moment_Calculations!S2:Z22,7,0),"non-compact","slender"))</f>
        <v>Compact</v>
      </c>
    </row>
    <row r="51" spans="2:5">
      <c r="B51" s="10"/>
      <c r="C51" s="74"/>
      <c r="D51" s="74"/>
      <c r="E51" s="74"/>
    </row>
    <row r="52" spans="2:5">
      <c r="B52" s="10" t="s">
        <v>102</v>
      </c>
      <c r="C52" s="74"/>
      <c r="D52" s="74"/>
      <c r="E52" s="74"/>
    </row>
    <row r="53" spans="2:5">
      <c r="B53" s="10" t="s">
        <v>11</v>
      </c>
      <c r="C53" s="74"/>
      <c r="D53" s="74"/>
      <c r="E53" s="74"/>
    </row>
    <row r="54" spans="2:5">
      <c r="B54" s="10" t="s">
        <v>96</v>
      </c>
      <c r="C54" s="78">
        <f ca="1">IF(Inputs!C4 = "PFC",(V26-X26)/W26*SQRT(280/250),(V26-X26)/2/W26*SQRT(280/250))</f>
        <v>7.9933759307012036</v>
      </c>
      <c r="D54" s="74"/>
      <c r="E54" s="74"/>
    </row>
    <row r="55" spans="2:5">
      <c r="B55" s="79" t="s">
        <v>88</v>
      </c>
      <c r="C55" s="74"/>
      <c r="D55" s="74"/>
      <c r="E55" s="74"/>
    </row>
    <row r="56" spans="2:5">
      <c r="B56" s="10" t="s">
        <v>97</v>
      </c>
      <c r="C56" s="74">
        <f>VLOOKUP(B19&amp;IF(Inputs!C4="CHS","","Flat")&amp;"Both"&amp;Inputs!G5,Moment_Calculations!S2:Z22,7,0)</f>
        <v>45</v>
      </c>
      <c r="D56" s="74"/>
      <c r="E56" s="74" t="s">
        <v>104</v>
      </c>
    </row>
    <row r="57" spans="2:5">
      <c r="B57" s="10" t="s">
        <v>101</v>
      </c>
      <c r="C57" s="12">
        <f ca="1">C54/C56</f>
        <v>0.17763057623780451</v>
      </c>
      <c r="D57" s="74"/>
      <c r="E57" s="74" t="str">
        <f ca="1">IF(C54&lt;VLOOKUP(B55&amp;IF(Inputs!C11="CHS","","Flat")&amp;"Both"&amp;Inputs!G5,Moment_Calculations!S2:Z22,6,0),"Compact",IF(C54&lt;VLOOKUP(B55&amp;IF(Inputs!C11="CHS","","Flat")&amp;"Both"&amp;Inputs!G5,Moment_Calculations!S2:Z22,7,0),"non-compact","slender"))</f>
        <v>Compact</v>
      </c>
    </row>
    <row r="58" spans="2:5">
      <c r="B58" s="74"/>
      <c r="C58" s="74"/>
      <c r="D58" s="74"/>
      <c r="E58" s="74"/>
    </row>
    <row r="59" spans="2:5">
      <c r="B59" s="74" t="s">
        <v>103</v>
      </c>
      <c r="C59" s="74"/>
      <c r="D59" s="74" t="s">
        <v>105</v>
      </c>
      <c r="E59" s="74"/>
    </row>
    <row r="60" spans="2:5">
      <c r="B60" s="74" t="str">
        <f ca="1">IF(C50&gt;C57,"Web", "Flange")</f>
        <v>Web</v>
      </c>
      <c r="C60" s="74"/>
      <c r="D60" s="79" t="str">
        <f ca="1">IF(C50&gt;C57,E50,E57)</f>
        <v>Compact</v>
      </c>
      <c r="E60" s="74"/>
    </row>
    <row r="61" spans="2:5">
      <c r="B61" s="74"/>
      <c r="C61" s="74"/>
      <c r="D61" s="74"/>
      <c r="E61" s="74"/>
    </row>
    <row r="62" spans="2:5">
      <c r="B62" s="74" t="s">
        <v>107</v>
      </c>
      <c r="C62" s="78">
        <f ca="1">VLOOKUP(D60,AC40:AD42,2,0)</f>
        <v>2070000</v>
      </c>
      <c r="D62" s="74"/>
      <c r="E62" s="74"/>
    </row>
    <row r="63" spans="2:5">
      <c r="B63" s="74"/>
      <c r="C63" s="74"/>
      <c r="D63" s="74"/>
      <c r="E63" s="74"/>
    </row>
    <row r="64" spans="2:5">
      <c r="B64" s="74" t="s">
        <v>114</v>
      </c>
      <c r="C64" s="74"/>
      <c r="D64" s="74"/>
      <c r="E64" s="74"/>
    </row>
    <row r="65" spans="2:5">
      <c r="B65" s="74" t="s">
        <v>116</v>
      </c>
      <c r="C65" s="78">
        <f ca="1">P5*AS26*C62/1000000</f>
        <v>558.9</v>
      </c>
      <c r="D65" s="74" t="s">
        <v>115</v>
      </c>
      <c r="E65" s="74"/>
    </row>
    <row r="66" spans="2:5">
      <c r="B66" s="74"/>
      <c r="C66" s="74"/>
      <c r="D66" s="74"/>
      <c r="E66" s="74"/>
    </row>
    <row r="67" spans="2:5">
      <c r="B67" s="74" t="s">
        <v>371</v>
      </c>
      <c r="C67" s="74"/>
      <c r="D67" s="74"/>
      <c r="E67" s="74"/>
    </row>
    <row r="68" spans="2:5">
      <c r="B68" s="10" t="s">
        <v>372</v>
      </c>
      <c r="C68" s="76">
        <v>1</v>
      </c>
      <c r="D68" s="74"/>
      <c r="E68" s="74"/>
    </row>
    <row r="69" spans="2:5">
      <c r="B69" s="10" t="s">
        <v>374</v>
      </c>
      <c r="C69" s="74">
        <f ca="1">SQRT((((PI()^2*200*10^9*AG26*10^-12)/C70^2)*(80*10^9*AK26*10^-12+(PI()^2*200*10^9*AL26*10^-18/C70^2))))/1000</f>
        <v>153.39286443102134</v>
      </c>
      <c r="D69" s="74"/>
      <c r="E69" s="74"/>
    </row>
    <row r="70" spans="2:5">
      <c r="B70" s="10" t="s">
        <v>375</v>
      </c>
      <c r="C70" s="79">
        <v>10.53</v>
      </c>
      <c r="D70" s="74"/>
      <c r="E70" s="74"/>
    </row>
    <row r="71" spans="2:5">
      <c r="B71" s="10" t="s">
        <v>373</v>
      </c>
      <c r="C71" s="74">
        <f ca="1">0.6*(SQRT(((C65/P5/C69)^2)+3)-(C65/P5/C69))</f>
        <v>0.21297213308335933</v>
      </c>
      <c r="D71" s="74"/>
      <c r="E71" s="74"/>
    </row>
    <row r="72" spans="2:5">
      <c r="B72" s="10" t="s">
        <v>376</v>
      </c>
      <c r="C72" s="78">
        <f ca="1">MIN(C65*C71,C65)</f>
        <v>119.03012518028952</v>
      </c>
      <c r="D72" s="74"/>
      <c r="E72" s="74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F00B-8B78-47D2-BBA0-85211D01DEE9}">
  <dimension ref="A1:CC107"/>
  <sheetViews>
    <sheetView topLeftCell="O1" zoomScale="115" zoomScaleNormal="115" workbookViewId="0">
      <selection activeCell="S3" sqref="S3"/>
    </sheetView>
  </sheetViews>
  <sheetFormatPr defaultColWidth="9.109375" defaultRowHeight="14.4"/>
  <cols>
    <col min="1" max="1" width="9.109375" style="74"/>
    <col min="2" max="2" width="12" style="74" customWidth="1"/>
    <col min="3" max="3" width="11.5546875" style="74" bestFit="1" customWidth="1"/>
    <col min="4" max="8" width="9.109375" style="74"/>
    <col min="9" max="9" width="9.44140625" style="74" customWidth="1"/>
    <col min="10" max="12" width="9.5546875" style="74" customWidth="1"/>
    <col min="13" max="13" width="9.44140625" style="74" customWidth="1"/>
    <col min="14" max="14" width="50.5546875" style="74" customWidth="1"/>
    <col min="15" max="15" width="22.5546875" style="74" customWidth="1"/>
    <col min="16" max="18" width="9.109375" style="74"/>
    <col min="19" max="19" width="12.88671875" style="74" customWidth="1"/>
    <col min="20" max="20" width="13.5546875" style="74" customWidth="1"/>
    <col min="21" max="21" width="9.6640625" style="74" customWidth="1"/>
    <col min="22" max="60" width="9.109375" style="74"/>
    <col min="61" max="61" width="11.109375" style="74" bestFit="1" customWidth="1"/>
    <col min="62" max="16384" width="9.109375" style="74"/>
  </cols>
  <sheetData>
    <row r="1" spans="1:33">
      <c r="A1" s="74" t="s">
        <v>384</v>
      </c>
    </row>
    <row r="2" spans="1:33">
      <c r="A2" s="74" t="s">
        <v>106</v>
      </c>
      <c r="B2" s="84"/>
      <c r="C2" s="85" t="s">
        <v>11</v>
      </c>
      <c r="D2" s="85"/>
      <c r="E2" s="85"/>
      <c r="F2" s="85"/>
      <c r="G2" s="85"/>
      <c r="H2" s="85"/>
      <c r="I2" s="85"/>
      <c r="J2" s="85"/>
      <c r="K2" s="85"/>
      <c r="N2" s="3" t="s">
        <v>21</v>
      </c>
      <c r="O2" s="4"/>
      <c r="P2" s="4"/>
      <c r="Q2" s="5"/>
      <c r="S2" s="74" t="s">
        <v>98</v>
      </c>
      <c r="U2" s="3"/>
      <c r="V2" s="4" t="s">
        <v>77</v>
      </c>
      <c r="W2" s="4" t="s">
        <v>78</v>
      </c>
      <c r="X2" s="4" t="s">
        <v>79</v>
      </c>
      <c r="Y2" s="4" t="s">
        <v>80</v>
      </c>
      <c r="Z2" s="5" t="s">
        <v>81</v>
      </c>
    </row>
    <row r="3" spans="1:33">
      <c r="A3" s="10" t="s">
        <v>96</v>
      </c>
      <c r="B3" s="87">
        <f ca="1">AO31/X31*SQRT(AR31/250)</f>
        <v>59.114126907195377</v>
      </c>
      <c r="C3" s="87">
        <f ca="1">V31/2/W31*SQRT(AS31/250)</f>
        <v>8.6722738271651298</v>
      </c>
      <c r="D3" s="85"/>
      <c r="E3" s="85"/>
      <c r="F3" s="85"/>
      <c r="G3" s="85"/>
      <c r="H3" s="85"/>
      <c r="I3" s="85"/>
      <c r="J3" s="85"/>
      <c r="K3" s="85"/>
      <c r="N3" s="1" t="s">
        <v>52</v>
      </c>
      <c r="O3" s="2" t="s">
        <v>53</v>
      </c>
      <c r="P3" s="2" t="s">
        <v>54</v>
      </c>
      <c r="Q3" s="6"/>
      <c r="S3" s="74" t="str">
        <f>T3&amp;U3&amp;V3&amp;W3</f>
        <v>UCOneSR</v>
      </c>
      <c r="T3" s="1" t="s">
        <v>391</v>
      </c>
      <c r="U3" s="1"/>
      <c r="V3" s="2" t="s">
        <v>83</v>
      </c>
      <c r="W3" s="2" t="s">
        <v>84</v>
      </c>
      <c r="X3" s="2">
        <v>10</v>
      </c>
      <c r="Y3" s="2">
        <v>16</v>
      </c>
      <c r="Z3" s="6">
        <v>35</v>
      </c>
      <c r="AC3" s="79" t="s">
        <v>107</v>
      </c>
      <c r="AD3" s="79"/>
      <c r="AE3" s="82" t="s">
        <v>111</v>
      </c>
      <c r="AF3" s="82" t="s">
        <v>112</v>
      </c>
      <c r="AG3" s="82" t="s">
        <v>113</v>
      </c>
    </row>
    <row r="4" spans="1:33">
      <c r="A4" s="10" t="s">
        <v>97</v>
      </c>
      <c r="B4" s="85">
        <f>VLOOKUP("CTBoth"&amp;Inputs!G5,'Moment_Calculations (2)'!S2:Z27,7,0)</f>
        <v>115</v>
      </c>
      <c r="C4" s="85">
        <f>VLOOKUP("UCOne"&amp;Inputs!G5,'Moment_Calculations (2)'!S2:Z27,7,0)</f>
        <v>16</v>
      </c>
      <c r="D4" s="85"/>
      <c r="E4" s="91" t="s">
        <v>438</v>
      </c>
      <c r="F4" s="85"/>
      <c r="G4" s="85"/>
      <c r="H4" s="85"/>
      <c r="I4" s="85"/>
      <c r="J4" s="85"/>
      <c r="K4" s="85"/>
      <c r="N4" s="1" t="s">
        <v>22</v>
      </c>
      <c r="O4" s="2"/>
      <c r="P4" s="2"/>
      <c r="Q4" s="6"/>
      <c r="S4" s="74" t="str">
        <f t="shared" ref="S4:S22" si="0">T4&amp;U4&amp;V4&amp;W4</f>
        <v>UCOneHR</v>
      </c>
      <c r="T4" s="1" t="s">
        <v>391</v>
      </c>
      <c r="U4" s="1"/>
      <c r="V4" s="2" t="s">
        <v>83</v>
      </c>
      <c r="W4" s="2" t="s">
        <v>85</v>
      </c>
      <c r="X4" s="2">
        <v>9</v>
      </c>
      <c r="Y4" s="2">
        <v>16</v>
      </c>
      <c r="Z4" s="6">
        <v>35</v>
      </c>
      <c r="AC4" s="79" t="s">
        <v>108</v>
      </c>
      <c r="AD4" s="79">
        <f ca="1">MIN(AC31,1.5*AB31)</f>
        <v>15499.439999999999</v>
      </c>
      <c r="AE4" s="79" t="e">
        <f ca="1">IF(B17&gt;C26,VLOOKUP(#REF!&amp;IF(Inputs!C4="CHS","","Flat")&amp;"Both"&amp;Inputs!G5,'Moment_Calculations (2)'!S2:Z27,6,0),VLOOKUP(B23&amp;IF(Inputs!C4="CHS","","Flat")&amp;"Both"&amp;Inputs!G5,'Moment_Calculations (2)'!S2:Z27,6,0))</f>
        <v>#N/A</v>
      </c>
      <c r="AF4" s="79" t="e">
        <f ca="1">IF(B17&gt;C26,VLOOKUP(#REF!&amp;IF(Inputs!C4="CHS","","Flat")&amp;"Both"&amp;Inputs!G5,'Moment_Calculations (2)'!S2:Z27,7,0),VLOOKUP(B23&amp;IF(Inputs!C4="CHS","","Flat")&amp;"Both"&amp;Inputs!G5,'Moment_Calculations (2)'!S2:Z27,7,0))</f>
        <v>#N/A</v>
      </c>
      <c r="AG4" s="79">
        <f>IF(B17&gt;C26,C14,C22)</f>
        <v>0</v>
      </c>
    </row>
    <row r="5" spans="1:33">
      <c r="A5" s="10" t="s">
        <v>101</v>
      </c>
      <c r="B5" s="88">
        <f ca="1">B3/B4</f>
        <v>0.514035886149525</v>
      </c>
      <c r="C5" s="88">
        <f ca="1">C3/C4</f>
        <v>0.54201711419782062</v>
      </c>
      <c r="D5" s="85"/>
      <c r="E5" s="85"/>
      <c r="F5" s="85"/>
      <c r="G5" s="85"/>
      <c r="H5" s="85"/>
      <c r="I5" s="85"/>
      <c r="J5" s="85"/>
      <c r="K5" s="85"/>
      <c r="N5" s="1" t="s">
        <v>23</v>
      </c>
      <c r="O5" s="2" t="s">
        <v>55</v>
      </c>
      <c r="P5" s="2">
        <v>0.9</v>
      </c>
      <c r="Q5" s="6"/>
      <c r="S5" s="74" t="str">
        <f t="shared" si="0"/>
        <v>UCOneLW</v>
      </c>
      <c r="T5" s="1" t="s">
        <v>391</v>
      </c>
      <c r="U5" s="1"/>
      <c r="V5" s="2" t="s">
        <v>83</v>
      </c>
      <c r="W5" s="2" t="s">
        <v>91</v>
      </c>
      <c r="X5" s="2">
        <v>8</v>
      </c>
      <c r="Y5" s="2">
        <v>15</v>
      </c>
      <c r="Z5" s="6">
        <v>35</v>
      </c>
      <c r="AC5" s="79" t="s">
        <v>109</v>
      </c>
      <c r="AD5" s="79" t="e">
        <f ca="1">AF31+(((AF5-AG5)/(AF5-AE5))*(MIN(AG31,1.5*AF31)-AF31))</f>
        <v>#N/A</v>
      </c>
      <c r="AE5" s="79" t="e">
        <f ca="1">IF(B17&gt;C26,VLOOKUP(#REF!&amp;IF(Inputs!C4="CHS","","Flat")&amp;"Both"&amp;Inputs!G5,'Moment_Calculations (2)'!S2:Z27,6,0),VLOOKUP(B23&amp;IF(Inputs!C4="CHS","","Flat")&amp;"Both"&amp;Inputs!G5,'Moment_Calculations (2)'!S2:Z27,6,0))</f>
        <v>#N/A</v>
      </c>
      <c r="AF5" s="79" t="e">
        <f ca="1">IF(B17&gt;C26,VLOOKUP(#REF!&amp;IF(Inputs!C4="CHS","","Flat")&amp;"Both"&amp;Inputs!G5,'Moment_Calculations (2)'!S2:Z27,7,0),VLOOKUP(B23&amp;IF(Inputs!C4="CHS","","Flat")&amp;"Both"&amp;Inputs!G5,'Moment_Calculations (2)'!S2:Z27,7,0))</f>
        <v>#N/A</v>
      </c>
      <c r="AG5" s="79">
        <f>IF(B17&gt;C26,C14,C22)</f>
        <v>0</v>
      </c>
    </row>
    <row r="6" spans="1:33">
      <c r="A6" s="74" t="s">
        <v>111</v>
      </c>
      <c r="B6" s="85">
        <f>VLOOKUP("CTBoth"&amp;Inputs!G5,'Moment_Calculations (2)'!S2:Z27,6,0)</f>
        <v>82</v>
      </c>
      <c r="C6" s="85">
        <f>VLOOKUP("UCOne"&amp;Inputs!G5,'Moment_Calculations (2)'!S2:Z27,6,0)</f>
        <v>10</v>
      </c>
      <c r="D6" s="85"/>
      <c r="E6" s="91" t="s">
        <v>439</v>
      </c>
      <c r="F6" s="85"/>
      <c r="G6" s="85"/>
      <c r="H6" s="85"/>
      <c r="I6" s="85"/>
      <c r="J6" s="85"/>
      <c r="K6" s="85"/>
      <c r="N6" s="1"/>
      <c r="O6" s="2"/>
      <c r="P6" s="2"/>
      <c r="Q6" s="6"/>
      <c r="S6" s="74" t="str">
        <f t="shared" ref="S6" si="1">T6&amp;U6&amp;V6&amp;W6</f>
        <v>UCOneCF</v>
      </c>
      <c r="T6" s="1" t="s">
        <v>391</v>
      </c>
      <c r="U6" s="1"/>
      <c r="V6" s="2" t="s">
        <v>83</v>
      </c>
      <c r="W6" s="2" t="s">
        <v>414</v>
      </c>
      <c r="X6" s="2">
        <v>8</v>
      </c>
      <c r="Y6" s="2">
        <v>15</v>
      </c>
      <c r="Z6" s="6">
        <v>35</v>
      </c>
      <c r="AC6" s="79"/>
      <c r="AD6" s="79"/>
      <c r="AE6" s="79"/>
      <c r="AF6" s="79"/>
      <c r="AG6" s="79"/>
    </row>
    <row r="7" spans="1:33">
      <c r="A7" s="74" t="s">
        <v>417</v>
      </c>
      <c r="B7" s="74">
        <f ca="1">IF(B5&gt;C5,1,0)</f>
        <v>0</v>
      </c>
      <c r="C7" s="74">
        <f ca="1">IF(B5&lt;C5,1,0)</f>
        <v>1</v>
      </c>
      <c r="D7" s="85"/>
      <c r="E7" s="85"/>
      <c r="F7" s="85"/>
      <c r="G7" s="85"/>
      <c r="H7" s="85"/>
      <c r="I7" s="85"/>
      <c r="J7" s="85"/>
      <c r="K7" s="85"/>
      <c r="N7" s="1" t="s">
        <v>24</v>
      </c>
      <c r="O7" s="2" t="s">
        <v>56</v>
      </c>
      <c r="P7" s="2">
        <v>0.9</v>
      </c>
      <c r="Q7" s="6"/>
      <c r="S7" s="74" t="str">
        <f t="shared" si="0"/>
        <v>UCOneHW</v>
      </c>
      <c r="T7" s="1" t="s">
        <v>391</v>
      </c>
      <c r="U7" s="1"/>
      <c r="V7" s="2" t="s">
        <v>83</v>
      </c>
      <c r="W7" s="2" t="s">
        <v>87</v>
      </c>
      <c r="X7" s="2">
        <v>8</v>
      </c>
      <c r="Y7" s="2">
        <v>14</v>
      </c>
      <c r="Z7" s="6">
        <v>35</v>
      </c>
      <c r="AC7" s="79" t="s">
        <v>110</v>
      </c>
      <c r="AD7" s="79" t="e">
        <f ca="1">IF(X36="Uniform compression",AF31*(AF7/AG7),AF31*(AF7/AG7)^2)</f>
        <v>#N/A</v>
      </c>
      <c r="AE7" s="79" t="e">
        <f ca="1">IF(B17&gt;C26,VLOOKUP(#REF!&amp;IF(Inputs!C4="CHS","","Flat")&amp;"Both"&amp;Inputs!G5,'Moment_Calculations (2)'!S2:Z27,6,0),VLOOKUP(B23&amp;IF(Inputs!C4="CHS","","Flat")&amp;"Both"&amp;Inputs!G5,'Moment_Calculations (2)'!S2:Z27,6,0))</f>
        <v>#N/A</v>
      </c>
      <c r="AF7" s="79" t="e">
        <f ca="1">IF(B17&gt;C26,VLOOKUP(#REF!&amp;IF(Inputs!C4="CHS","","Flat")&amp;"Both"&amp;Inputs!G5,'Moment_Calculations (2)'!S2:Z27,7,0),VLOOKUP(B23&amp;IF(Inputs!C4="CHS","","Flat")&amp;"Both"&amp;Inputs!G5,'Moment_Calculations (2)'!S2:Z27,7,0))</f>
        <v>#N/A</v>
      </c>
      <c r="AG7" s="79">
        <f>IF(B17&gt;C26,C14,C22)</f>
        <v>0</v>
      </c>
    </row>
    <row r="8" spans="1:33">
      <c r="A8" s="74" t="s">
        <v>108</v>
      </c>
      <c r="B8" s="85">
        <f ca="1">IF(B3&lt;B6,1,0)</f>
        <v>1</v>
      </c>
      <c r="C8" s="85">
        <f ca="1">IF(C3&lt;C6,1,0)</f>
        <v>1</v>
      </c>
      <c r="D8" s="85"/>
      <c r="E8" s="85"/>
      <c r="F8" s="85"/>
      <c r="G8" s="85"/>
      <c r="H8" s="85"/>
      <c r="I8" s="85"/>
      <c r="J8" s="85"/>
      <c r="K8" s="85"/>
      <c r="N8" s="1" t="s">
        <v>25</v>
      </c>
      <c r="O8" s="2" t="s">
        <v>57</v>
      </c>
      <c r="P8" s="2">
        <v>0.9</v>
      </c>
      <c r="Q8" s="6"/>
      <c r="S8" s="74" t="str">
        <f t="shared" si="0"/>
        <v>C0OneSR</v>
      </c>
      <c r="T8" s="1" t="s">
        <v>411</v>
      </c>
      <c r="U8" s="1"/>
      <c r="V8" s="2" t="s">
        <v>83</v>
      </c>
      <c r="W8" s="2" t="s">
        <v>84</v>
      </c>
      <c r="X8" s="2">
        <v>10</v>
      </c>
      <c r="Y8" s="2">
        <v>25</v>
      </c>
      <c r="Z8" s="6"/>
    </row>
    <row r="9" spans="1:33">
      <c r="A9" s="74" t="s">
        <v>415</v>
      </c>
      <c r="B9" s="85">
        <f ca="1">IF(AND(B3&gt;B6,B3&lt;B4),1,0)</f>
        <v>0</v>
      </c>
      <c r="C9" s="85">
        <f ca="1">IF(AND(C3&gt;C6,C3&lt;C4),1,0)</f>
        <v>0</v>
      </c>
      <c r="D9" s="85"/>
      <c r="E9" s="85"/>
      <c r="F9" s="85"/>
      <c r="G9" s="85"/>
      <c r="H9" s="85"/>
      <c r="I9" s="85"/>
      <c r="J9" s="85"/>
      <c r="K9" s="85"/>
      <c r="N9" s="1" t="s">
        <v>26</v>
      </c>
      <c r="O9" s="2">
        <v>5.13</v>
      </c>
      <c r="P9" s="2">
        <v>0.9</v>
      </c>
      <c r="Q9" s="6"/>
      <c r="S9" s="74" t="str">
        <f t="shared" si="0"/>
        <v>C0OneHR</v>
      </c>
      <c r="T9" s="1" t="s">
        <v>411</v>
      </c>
      <c r="U9" s="1"/>
      <c r="V9" s="2" t="s">
        <v>83</v>
      </c>
      <c r="W9" s="2" t="s">
        <v>85</v>
      </c>
      <c r="X9" s="2">
        <v>9</v>
      </c>
      <c r="Y9" s="2">
        <v>25</v>
      </c>
      <c r="Z9" s="6"/>
      <c r="AE9" s="10"/>
      <c r="AF9" s="10"/>
      <c r="AG9" s="10"/>
    </row>
    <row r="10" spans="1:33">
      <c r="A10" s="74" t="s">
        <v>416</v>
      </c>
      <c r="B10" s="85">
        <f ca="1">IF(B3&gt;B4,1,0)</f>
        <v>0</v>
      </c>
      <c r="C10" s="85">
        <f ca="1">IF(C3&gt;C4,1,0)</f>
        <v>0</v>
      </c>
      <c r="D10" s="85"/>
      <c r="E10" s="85"/>
      <c r="F10" s="85"/>
      <c r="G10" s="85"/>
      <c r="H10" s="85"/>
      <c r="I10" s="85"/>
      <c r="J10" s="85"/>
      <c r="K10" s="85"/>
      <c r="N10" s="1" t="s">
        <v>27</v>
      </c>
      <c r="O10" s="2" t="s">
        <v>58</v>
      </c>
      <c r="P10" s="2">
        <v>0.9</v>
      </c>
      <c r="Q10" s="6"/>
      <c r="S10" s="74" t="str">
        <f t="shared" si="0"/>
        <v>C0OneLW</v>
      </c>
      <c r="T10" s="1" t="s">
        <v>411</v>
      </c>
      <c r="U10" s="1"/>
      <c r="V10" s="2" t="s">
        <v>83</v>
      </c>
      <c r="W10" s="2" t="s">
        <v>91</v>
      </c>
      <c r="X10" s="2">
        <v>8</v>
      </c>
      <c r="Y10" s="2">
        <v>22</v>
      </c>
      <c r="Z10" s="6"/>
    </row>
    <row r="11" spans="1:33">
      <c r="A11" s="74" t="s">
        <v>381</v>
      </c>
      <c r="B11" s="78">
        <f ca="1">MAX(B12:C14)</f>
        <v>558.9</v>
      </c>
      <c r="D11" s="85"/>
      <c r="E11" s="85"/>
      <c r="F11" s="85"/>
      <c r="G11" s="85"/>
      <c r="H11" s="85"/>
      <c r="I11" s="85"/>
      <c r="J11" s="85"/>
      <c r="K11" s="85"/>
      <c r="N11" s="1"/>
      <c r="O11" s="2"/>
      <c r="P11" s="2"/>
      <c r="Q11" s="6"/>
      <c r="S11" s="74" t="str">
        <f t="shared" ref="S11" si="2">T11&amp;U11&amp;V11&amp;W11</f>
        <v>C1OneCF</v>
      </c>
      <c r="T11" s="1" t="s">
        <v>412</v>
      </c>
      <c r="U11" s="1"/>
      <c r="V11" s="2" t="s">
        <v>83</v>
      </c>
      <c r="W11" s="2" t="s">
        <v>414</v>
      </c>
      <c r="X11" s="2">
        <v>8</v>
      </c>
      <c r="Y11" s="2">
        <v>22</v>
      </c>
      <c r="Z11" s="6"/>
    </row>
    <row r="12" spans="1:33">
      <c r="A12" s="74" t="s">
        <v>108</v>
      </c>
      <c r="B12" s="87">
        <f ca="1">0.9*B7*B8*MIN(1.5*AD31,AE31)*MIN(AR31,AS31)/1000000</f>
        <v>0</v>
      </c>
      <c r="C12" s="85">
        <f ca="1">0.9*C7*C8*MIN(1.5*AD31,AE31)*MIN(AR31,AS31)/1000000</f>
        <v>558.9</v>
      </c>
      <c r="D12" s="87"/>
      <c r="E12" s="85"/>
      <c r="F12" s="85"/>
      <c r="G12" s="85"/>
      <c r="H12" s="85"/>
      <c r="I12" s="85"/>
      <c r="J12" s="85"/>
      <c r="K12" s="85"/>
      <c r="N12" s="1" t="s">
        <v>28</v>
      </c>
      <c r="O12" s="2"/>
      <c r="P12" s="2"/>
      <c r="Q12" s="6"/>
      <c r="S12" s="74" t="str">
        <f t="shared" si="0"/>
        <v>C0OneHW</v>
      </c>
      <c r="T12" s="1" t="s">
        <v>411</v>
      </c>
      <c r="U12" s="1"/>
      <c r="V12" s="2" t="s">
        <v>83</v>
      </c>
      <c r="W12" s="2" t="s">
        <v>87</v>
      </c>
      <c r="X12" s="2">
        <v>8</v>
      </c>
      <c r="Y12" s="2">
        <v>22</v>
      </c>
      <c r="Z12" s="6"/>
    </row>
    <row r="13" spans="1:33">
      <c r="A13" s="74" t="s">
        <v>415</v>
      </c>
      <c r="B13" s="85">
        <f ca="1">B7*B9*(AD31+(((B4-B3)/(B4-B6))*(MIN(1.5*AD31,AE31)-AD31)))</f>
        <v>0</v>
      </c>
      <c r="C13" s="85">
        <f ca="1">C7*C9*(AD31+(((C4-C3)/(C4-C6))*(MIN(1.5*AD31,AE31)-AD31)))</f>
        <v>0</v>
      </c>
      <c r="D13" s="87"/>
      <c r="E13" s="85"/>
      <c r="F13" s="85"/>
      <c r="G13" s="85"/>
      <c r="H13" s="85"/>
      <c r="I13" s="85"/>
      <c r="J13" s="85"/>
      <c r="K13" s="85"/>
      <c r="N13" s="1" t="s">
        <v>29</v>
      </c>
      <c r="O13" s="2" t="s">
        <v>59</v>
      </c>
      <c r="P13" s="2">
        <v>0.9</v>
      </c>
      <c r="Q13" s="6"/>
      <c r="S13" s="74" t="str">
        <f t="shared" si="0"/>
        <v>UCBothSR</v>
      </c>
      <c r="T13" s="1" t="s">
        <v>391</v>
      </c>
      <c r="U13" s="1"/>
      <c r="V13" s="2" t="s">
        <v>89</v>
      </c>
      <c r="W13" s="2" t="s">
        <v>84</v>
      </c>
      <c r="X13" s="2">
        <v>30</v>
      </c>
      <c r="Y13" s="2">
        <v>45</v>
      </c>
      <c r="Z13" s="6">
        <v>90</v>
      </c>
    </row>
    <row r="14" spans="1:33">
      <c r="A14" s="74" t="s">
        <v>416</v>
      </c>
      <c r="B14" s="86">
        <f ca="1">B7*B10*AD31*(B4/B3)^2</f>
        <v>0</v>
      </c>
      <c r="C14" s="89">
        <f ca="1">C7*C10*AD31*(C4/C3)</f>
        <v>0</v>
      </c>
      <c r="D14" s="87"/>
      <c r="E14" s="85"/>
      <c r="F14" s="85"/>
      <c r="G14" s="85"/>
      <c r="H14" s="85"/>
      <c r="I14" s="85"/>
      <c r="J14" s="85"/>
      <c r="K14" s="85"/>
      <c r="N14" s="1" t="s">
        <v>30</v>
      </c>
      <c r="O14" s="2" t="s">
        <v>60</v>
      </c>
      <c r="P14" s="2">
        <v>0.9</v>
      </c>
      <c r="Q14" s="6"/>
      <c r="S14" s="74" t="str">
        <f t="shared" si="0"/>
        <v>UCBothHR</v>
      </c>
      <c r="T14" s="1" t="s">
        <v>391</v>
      </c>
      <c r="U14" s="1"/>
      <c r="V14" s="2" t="s">
        <v>89</v>
      </c>
      <c r="W14" s="2" t="s">
        <v>85</v>
      </c>
      <c r="X14" s="2">
        <v>30</v>
      </c>
      <c r="Y14" s="2">
        <v>45</v>
      </c>
      <c r="Z14" s="6">
        <v>90</v>
      </c>
    </row>
    <row r="15" spans="1:33">
      <c r="A15" s="10" t="s">
        <v>372</v>
      </c>
      <c r="B15" s="90">
        <f>Inputs!G11</f>
        <v>1</v>
      </c>
      <c r="C15" s="88"/>
      <c r="D15" s="85"/>
      <c r="E15" s="85"/>
      <c r="F15" s="85"/>
      <c r="G15" s="85"/>
      <c r="H15" s="85"/>
      <c r="I15" s="85"/>
      <c r="J15" s="85"/>
      <c r="K15" s="85"/>
      <c r="N15" s="1" t="s">
        <v>31</v>
      </c>
      <c r="O15" s="2" t="s">
        <v>61</v>
      </c>
      <c r="P15" s="2">
        <v>0.9</v>
      </c>
      <c r="Q15" s="6"/>
      <c r="S15" s="74" t="str">
        <f t="shared" si="0"/>
        <v>UCBothLW</v>
      </c>
      <c r="T15" s="1" t="s">
        <v>391</v>
      </c>
      <c r="U15" s="1"/>
      <c r="V15" s="2" t="s">
        <v>89</v>
      </c>
      <c r="W15" s="2" t="s">
        <v>91</v>
      </c>
      <c r="X15" s="2">
        <v>30</v>
      </c>
      <c r="Y15" s="2">
        <v>40</v>
      </c>
      <c r="Z15" s="6">
        <v>90</v>
      </c>
    </row>
    <row r="16" spans="1:33">
      <c r="A16" s="10" t="s">
        <v>421</v>
      </c>
      <c r="B16" s="90">
        <f ca="1">VLOOKUP(TRUE,$B$17:$C$19,2,0)</f>
        <v>1.01629955078125</v>
      </c>
      <c r="C16" s="85"/>
      <c r="D16" s="85"/>
      <c r="E16" s="85"/>
      <c r="F16" s="85"/>
      <c r="G16" s="85"/>
      <c r="H16" s="85"/>
      <c r="I16" s="85"/>
      <c r="J16" s="85"/>
      <c r="K16" s="85"/>
      <c r="N16" s="1"/>
      <c r="O16" s="2"/>
      <c r="P16" s="2"/>
      <c r="Q16" s="6"/>
      <c r="S16" s="74" t="str">
        <f t="shared" ref="S16" si="3">T16&amp;U16&amp;V16&amp;W16</f>
        <v>UCBothCF</v>
      </c>
      <c r="T16" s="1" t="s">
        <v>391</v>
      </c>
      <c r="U16" s="1"/>
      <c r="V16" s="2" t="s">
        <v>89</v>
      </c>
      <c r="W16" s="2" t="s">
        <v>414</v>
      </c>
      <c r="X16" s="2">
        <v>30</v>
      </c>
      <c r="Y16" s="2">
        <v>40</v>
      </c>
      <c r="Z16" s="6">
        <v>90</v>
      </c>
    </row>
    <row r="17" spans="1:81">
      <c r="A17" s="14" t="s">
        <v>418</v>
      </c>
      <c r="B17" s="87" t="b">
        <f>ISNUMBER(SEARCH(Inputs!$G$8,'Moment_Calculations (2)'!$A$17))</f>
        <v>0</v>
      </c>
      <c r="C17" s="86">
        <v>1</v>
      </c>
      <c r="E17" s="85"/>
      <c r="F17" s="85"/>
      <c r="G17" s="85"/>
      <c r="H17" s="85"/>
      <c r="I17" s="85"/>
      <c r="J17" s="85"/>
      <c r="K17" s="85"/>
      <c r="N17" s="1" t="s">
        <v>32</v>
      </c>
      <c r="O17" s="2"/>
      <c r="P17" s="2"/>
      <c r="Q17" s="6"/>
      <c r="S17" s="74" t="str">
        <f t="shared" si="0"/>
        <v>UCBothHW</v>
      </c>
      <c r="T17" s="1" t="s">
        <v>391</v>
      </c>
      <c r="U17" s="1"/>
      <c r="V17" s="2" t="s">
        <v>89</v>
      </c>
      <c r="W17" s="2" t="s">
        <v>87</v>
      </c>
      <c r="X17" s="2">
        <v>30</v>
      </c>
      <c r="Y17" s="2">
        <v>35</v>
      </c>
      <c r="Z17" s="6">
        <v>90</v>
      </c>
    </row>
    <row r="18" spans="1:81">
      <c r="A18" s="14" t="s">
        <v>419</v>
      </c>
      <c r="B18" s="85" t="b">
        <f>ISNUMBER(SEARCH(Inputs!$G$8,'Moment_Calculations (2)'!$A$18))</f>
        <v>1</v>
      </c>
      <c r="C18" s="90">
        <f ca="1">1+((T54/Inputs!C13/1000)*('Moment_Calculations (2)'!T36/(2*'Moment_Calculations (2)'!T37))^3)/1</f>
        <v>1.01629955078125</v>
      </c>
      <c r="E18" s="85"/>
      <c r="F18" s="85"/>
      <c r="G18" s="85"/>
      <c r="H18" s="85"/>
      <c r="I18" s="85"/>
      <c r="J18" s="85"/>
      <c r="K18" s="85"/>
      <c r="N18" s="1" t="s">
        <v>29</v>
      </c>
      <c r="O18" s="2">
        <v>8.3000000000000007</v>
      </c>
      <c r="P18" s="2">
        <v>0.9</v>
      </c>
      <c r="Q18" s="6"/>
      <c r="S18" s="74" t="str">
        <f t="shared" si="0"/>
        <v>CTBothSR</v>
      </c>
      <c r="T18" s="11" t="s">
        <v>413</v>
      </c>
      <c r="U18" s="1"/>
      <c r="V18" s="2" t="s">
        <v>89</v>
      </c>
      <c r="W18" s="2" t="s">
        <v>84</v>
      </c>
      <c r="X18" s="2">
        <v>82</v>
      </c>
      <c r="Y18" s="2">
        <v>115</v>
      </c>
      <c r="Z18" s="6"/>
    </row>
    <row r="19" spans="1:81">
      <c r="A19" s="14" t="s">
        <v>420</v>
      </c>
      <c r="B19" s="85" t="b">
        <f>ISNUMBER(SEARCH(Inputs!$G$8,'Moment_Calculations (2)'!$A$19))</f>
        <v>0</v>
      </c>
      <c r="C19" s="90">
        <f ca="1">1+(2*(T54/Inputs!C13/1000)*('Moment_Calculations (2)'!T36/(2*'Moment_Calculations (2)'!T37))^3)/1</f>
        <v>1.0325991015625</v>
      </c>
      <c r="E19" s="85"/>
      <c r="F19" s="85"/>
      <c r="G19" s="85"/>
      <c r="H19" s="85"/>
      <c r="I19" s="85"/>
      <c r="J19" s="85"/>
      <c r="K19" s="85"/>
      <c r="N19" s="1" t="s">
        <v>30</v>
      </c>
      <c r="O19" s="2">
        <v>8.4</v>
      </c>
      <c r="P19" s="2">
        <v>0.9</v>
      </c>
      <c r="Q19" s="6"/>
      <c r="S19" s="74" t="str">
        <f t="shared" si="0"/>
        <v>CTBothHR</v>
      </c>
      <c r="T19" s="11" t="s">
        <v>413</v>
      </c>
      <c r="U19" s="1"/>
      <c r="V19" s="2" t="s">
        <v>89</v>
      </c>
      <c r="W19" s="14" t="s">
        <v>85</v>
      </c>
      <c r="X19" s="2">
        <v>82</v>
      </c>
      <c r="Y19" s="2">
        <v>115</v>
      </c>
    </row>
    <row r="20" spans="1:81">
      <c r="A20" s="14" t="s">
        <v>422</v>
      </c>
      <c r="B20" s="86">
        <f>VLOOKUP(1,$M$42:$Q$46,MATCH(Inputs!$J$5,$M$42:$Q$42,0),0)</f>
        <v>1</v>
      </c>
      <c r="C20" s="85"/>
      <c r="D20" s="85"/>
      <c r="E20" s="85"/>
      <c r="F20" s="85"/>
      <c r="G20" s="85"/>
      <c r="H20" s="85"/>
      <c r="I20" s="85"/>
      <c r="J20" s="85"/>
      <c r="K20" s="85"/>
      <c r="N20" s="1" t="s">
        <v>33</v>
      </c>
      <c r="O20" s="2" t="s">
        <v>62</v>
      </c>
      <c r="P20" s="2">
        <v>0.9</v>
      </c>
      <c r="Q20" s="6"/>
      <c r="S20" s="74" t="str">
        <f t="shared" si="0"/>
        <v>CTBothLW</v>
      </c>
      <c r="T20" s="11" t="s">
        <v>413</v>
      </c>
      <c r="U20" s="1"/>
      <c r="V20" s="2" t="s">
        <v>89</v>
      </c>
      <c r="W20" s="14" t="s">
        <v>91</v>
      </c>
      <c r="X20" s="2">
        <v>82</v>
      </c>
      <c r="Y20" s="2">
        <v>115</v>
      </c>
    </row>
    <row r="21" spans="1:81">
      <c r="A21" s="14" t="s">
        <v>433</v>
      </c>
      <c r="B21" s="86">
        <f>VLOOKUP(1,M49:P52,4,0)</f>
        <v>1</v>
      </c>
      <c r="C21" s="85"/>
      <c r="D21" s="85"/>
      <c r="E21" s="85"/>
      <c r="F21" s="85"/>
      <c r="G21" s="85"/>
      <c r="H21" s="85"/>
      <c r="I21" s="85"/>
      <c r="J21" s="85"/>
      <c r="K21" s="85"/>
      <c r="N21" s="1"/>
      <c r="O21" s="2"/>
      <c r="P21" s="2"/>
      <c r="Q21" s="6"/>
      <c r="S21" s="74" t="str">
        <f t="shared" ref="S21" si="4">T21&amp;U21&amp;V21&amp;W21</f>
        <v>CTBothCF</v>
      </c>
      <c r="T21" s="11" t="s">
        <v>413</v>
      </c>
      <c r="U21" s="1"/>
      <c r="V21" s="2" t="s">
        <v>89</v>
      </c>
      <c r="W21" s="14" t="s">
        <v>414</v>
      </c>
      <c r="X21" s="2">
        <v>82</v>
      </c>
      <c r="Y21" s="2">
        <v>115</v>
      </c>
    </row>
    <row r="22" spans="1:81">
      <c r="A22" s="14" t="s">
        <v>375</v>
      </c>
      <c r="B22" s="93">
        <f ca="1">'Moment_Calculations (2)'!B16*'Moment_Calculations (2)'!B20*'Moment_Calculations (2)'!B21*Inputs!C13</f>
        <v>10.1629955078125</v>
      </c>
      <c r="C22" s="87"/>
      <c r="D22" s="85"/>
      <c r="E22" s="85"/>
      <c r="F22" s="85"/>
      <c r="G22" s="85"/>
      <c r="H22" s="85"/>
      <c r="I22" s="85"/>
      <c r="J22" s="85"/>
      <c r="K22" s="85"/>
      <c r="N22" s="1"/>
      <c r="O22" s="2" t="s">
        <v>63</v>
      </c>
      <c r="P22" s="2">
        <v>0.75</v>
      </c>
      <c r="Q22" s="6"/>
      <c r="S22" s="74" t="str">
        <f t="shared" si="0"/>
        <v>CTBothHW</v>
      </c>
      <c r="T22" s="11" t="s">
        <v>413</v>
      </c>
      <c r="U22" s="1"/>
      <c r="V22" s="2" t="s">
        <v>89</v>
      </c>
      <c r="W22" s="14" t="s">
        <v>87</v>
      </c>
      <c r="X22" s="2">
        <v>82</v>
      </c>
      <c r="Y22" s="2">
        <v>115</v>
      </c>
    </row>
    <row r="23" spans="1:81">
      <c r="A23" s="14" t="s">
        <v>374</v>
      </c>
      <c r="B23" s="87">
        <f ca="1">SQRT(((PI()^2*200*10^9*AG31*10^-12)/(B22^2))*(80*10^9*T50*10^-12 + (PI()^2*200*10^9*T51*10^-18)/(B22^2)))/1000</f>
        <v>161.02227800315598</v>
      </c>
      <c r="C23" s="85"/>
      <c r="D23" s="85"/>
      <c r="E23" s="85"/>
      <c r="F23" s="85"/>
      <c r="G23" s="85"/>
      <c r="H23" s="85"/>
      <c r="I23" s="85"/>
      <c r="J23" s="85"/>
      <c r="K23" s="85"/>
      <c r="N23" s="1" t="s">
        <v>34</v>
      </c>
      <c r="O23" s="2"/>
      <c r="P23" s="2"/>
      <c r="Q23" s="6"/>
      <c r="S23" s="74" t="str">
        <f>T23&amp;U23&amp;V23&amp;W23</f>
        <v>CHSSR</v>
      </c>
      <c r="T23" s="1" t="s">
        <v>410</v>
      </c>
      <c r="V23" s="2"/>
      <c r="W23" s="2" t="s">
        <v>84</v>
      </c>
      <c r="X23" s="2">
        <v>50</v>
      </c>
      <c r="Y23" s="2">
        <v>120</v>
      </c>
      <c r="Z23" s="6"/>
    </row>
    <row r="24" spans="1:81">
      <c r="A24" s="92" t="s">
        <v>373</v>
      </c>
      <c r="B24" s="93">
        <f ca="1">0.6*(SQRT((B11/(B23*0.9))^2+3)-(B11/(B23*0.9)))</f>
        <v>0.22265357353334822</v>
      </c>
      <c r="C24" s="85"/>
      <c r="D24" s="85"/>
      <c r="E24" s="85"/>
      <c r="F24" s="85"/>
      <c r="G24" s="85"/>
      <c r="H24" s="85"/>
      <c r="I24" s="85"/>
      <c r="J24" s="85"/>
      <c r="K24" s="85"/>
      <c r="N24" s="1" t="s">
        <v>35</v>
      </c>
      <c r="O24" s="2" t="s">
        <v>64</v>
      </c>
      <c r="P24" s="2">
        <v>0.8</v>
      </c>
      <c r="Q24" s="6"/>
      <c r="S24" s="74" t="str">
        <f>T24&amp;U24&amp;V24&amp;W24</f>
        <v>CHSHR</v>
      </c>
      <c r="T24" s="1" t="s">
        <v>410</v>
      </c>
      <c r="U24" s="1"/>
      <c r="V24" s="2"/>
      <c r="W24" s="2" t="s">
        <v>85</v>
      </c>
      <c r="X24" s="2">
        <v>50</v>
      </c>
      <c r="Y24" s="2">
        <v>120</v>
      </c>
      <c r="Z24" s="6"/>
    </row>
    <row r="25" spans="1:81">
      <c r="A25" s="92" t="s">
        <v>372</v>
      </c>
      <c r="B25" s="86">
        <v>1</v>
      </c>
      <c r="C25" s="85"/>
      <c r="D25" s="85"/>
      <c r="E25" s="85"/>
      <c r="F25" s="85"/>
      <c r="G25" s="85"/>
      <c r="H25" s="85"/>
      <c r="I25" s="85"/>
      <c r="J25" s="85"/>
      <c r="K25" s="85"/>
      <c r="N25" s="1"/>
      <c r="O25" s="2"/>
      <c r="P25" s="2"/>
      <c r="Q25" s="6"/>
      <c r="S25" s="74" t="str">
        <f>T25&amp;U25&amp;V25&amp;W25</f>
        <v>CHSCF</v>
      </c>
      <c r="T25" s="1" t="s">
        <v>410</v>
      </c>
      <c r="U25" s="1"/>
      <c r="V25" s="2"/>
      <c r="W25" s="2" t="s">
        <v>414</v>
      </c>
      <c r="X25" s="2">
        <v>50</v>
      </c>
      <c r="Y25" s="2">
        <v>120</v>
      </c>
      <c r="Z25" s="6"/>
    </row>
    <row r="26" spans="1:81">
      <c r="A26" s="74" t="s">
        <v>382</v>
      </c>
      <c r="B26" s="93">
        <f ca="1">B25*B24*B11</f>
        <v>124.44108224778832</v>
      </c>
      <c r="C26" s="88"/>
      <c r="D26" s="85"/>
      <c r="E26" s="85"/>
      <c r="F26" s="85"/>
      <c r="G26" s="85"/>
      <c r="H26" s="85"/>
      <c r="I26" s="85"/>
      <c r="J26" s="85"/>
      <c r="K26" s="85"/>
      <c r="N26" s="1" t="s">
        <v>36</v>
      </c>
      <c r="O26" s="2" t="s">
        <v>65</v>
      </c>
      <c r="P26" s="2">
        <v>0.8</v>
      </c>
      <c r="Q26" s="6"/>
      <c r="S26" s="74" t="str">
        <f>T26&amp;U26&amp;V26&amp;W26</f>
        <v>CHSLW</v>
      </c>
      <c r="T26" s="1" t="s">
        <v>410</v>
      </c>
      <c r="U26" s="1"/>
      <c r="V26" s="2"/>
      <c r="W26" s="2" t="s">
        <v>91</v>
      </c>
      <c r="X26" s="2">
        <v>42</v>
      </c>
      <c r="Y26" s="2">
        <v>120</v>
      </c>
      <c r="Z26" s="6"/>
    </row>
    <row r="27" spans="1:81">
      <c r="B27" s="85"/>
      <c r="C27" s="85"/>
      <c r="D27" s="85"/>
      <c r="E27" s="85"/>
      <c r="F27" s="85"/>
      <c r="G27" s="85"/>
      <c r="H27" s="85"/>
      <c r="I27" s="85"/>
      <c r="J27" s="85"/>
      <c r="K27" s="85"/>
      <c r="N27" s="1" t="s">
        <v>37</v>
      </c>
      <c r="O27" s="2" t="s">
        <v>66</v>
      </c>
      <c r="P27" s="2">
        <v>0.8</v>
      </c>
      <c r="Q27" s="6"/>
      <c r="S27" s="74" t="str">
        <f>T27&amp;U27&amp;V27&amp;W27</f>
        <v>CHSHW</v>
      </c>
      <c r="T27" s="1" t="s">
        <v>410</v>
      </c>
      <c r="U27" s="7"/>
      <c r="V27" s="8"/>
      <c r="W27" s="8" t="s">
        <v>87</v>
      </c>
      <c r="X27" s="8">
        <v>42</v>
      </c>
      <c r="Y27" s="8">
        <v>120</v>
      </c>
      <c r="Z27" s="9"/>
    </row>
    <row r="28" spans="1:81">
      <c r="A28" s="74" t="s">
        <v>6</v>
      </c>
      <c r="F28" s="85"/>
      <c r="G28" s="85"/>
      <c r="H28" s="85"/>
      <c r="I28" s="85"/>
      <c r="J28" s="85"/>
      <c r="K28" s="85"/>
      <c r="N28" s="1" t="s">
        <v>38</v>
      </c>
      <c r="O28" s="2" t="s">
        <v>67</v>
      </c>
      <c r="P28" s="2">
        <v>0.9</v>
      </c>
      <c r="Q28" s="6"/>
    </row>
    <row r="29" spans="1:81">
      <c r="A29" s="74" t="s">
        <v>106</v>
      </c>
      <c r="B29" s="84"/>
      <c r="C29" s="85" t="s">
        <v>11</v>
      </c>
      <c r="D29" s="85"/>
      <c r="E29" s="85"/>
      <c r="F29" s="85"/>
      <c r="G29" s="85"/>
      <c r="H29" s="85"/>
      <c r="I29" s="85"/>
      <c r="J29" s="85"/>
      <c r="K29" s="85"/>
      <c r="N29" s="1" t="s">
        <v>39</v>
      </c>
      <c r="O29" s="2">
        <v>9.3000000000000007</v>
      </c>
      <c r="P29" s="2">
        <v>0.8</v>
      </c>
      <c r="Q29" s="6"/>
      <c r="S29" s="74" t="s">
        <v>94</v>
      </c>
    </row>
    <row r="30" spans="1:81">
      <c r="A30" s="10" t="s">
        <v>96</v>
      </c>
      <c r="B30" s="87">
        <f ca="1">T52/T37*SQRT(T55/250)</f>
        <v>0</v>
      </c>
      <c r="C30" s="87">
        <f ca="1">T36/T35*SQRT(T54/250)</f>
        <v>8.9461547164424976E-2</v>
      </c>
      <c r="D30" s="85"/>
      <c r="E30" s="85"/>
      <c r="F30" s="85"/>
      <c r="G30" s="85"/>
      <c r="H30" s="85"/>
      <c r="I30" s="85"/>
      <c r="J30" s="85"/>
      <c r="K30" s="85"/>
      <c r="N30" s="1" t="s">
        <v>40</v>
      </c>
      <c r="O30" s="2"/>
      <c r="P30" s="2"/>
      <c r="Q30" s="6"/>
      <c r="S30" s="74" t="str">
        <f ca="1">VLOOKUP("Designation", INDIRECT("'"&amp;Inputs!$C$4&amp;"'!"&amp;"$A$1:$AJ$55"),1,FALSE)</f>
        <v>Designation</v>
      </c>
      <c r="U30" s="74" t="str">
        <f ca="1">VLOOKUP("   d        b       t", INDIRECT("'"&amp;Inputs!$C$4&amp;"'!"&amp;"$A$1:$AJ$55"),2,FALSE)</f>
        <v>d</v>
      </c>
      <c r="V30" s="74" t="str">
        <f ca="1">VLOOKUP("   d        b       t", INDIRECT("'"&amp;Inputs!$C$4&amp;"'!"&amp;"$A$1:$AJ$55"),3,FALSE)</f>
        <v>bf</v>
      </c>
      <c r="W30" s="74" t="str">
        <f ca="1">VLOOKUP("   d        b       t", INDIRECT("'"&amp;Inputs!$C$4&amp;"'!"&amp;"$A$1:$AJ$55"),4,FALSE)</f>
        <v>tf</v>
      </c>
      <c r="X30" s="74" t="str">
        <f ca="1">VLOOKUP("   d        b       t", INDIRECT("'"&amp;Inputs!$C$4&amp;"'!"&amp;"$A$1:$AJ$55"),5,FALSE)</f>
        <v>tw</v>
      </c>
      <c r="Y30" s="74" t="str">
        <f ca="1">VLOOKUP("   d        b       t", INDIRECT("'"&amp;Inputs!$C$4&amp;"'!"&amp;"$A$1:$AJ$55"),6,FALSE)</f>
        <v>r1</v>
      </c>
      <c r="Z30" s="74" t="str">
        <f ca="1">VLOOKUP("   d        b       t", INDIRECT("'"&amp;Inputs!$C$4&amp;"'!"&amp;"$A$1:$AJ$55"),7,FALSE)</f>
        <v>As</v>
      </c>
      <c r="AA30" s="74" t="str">
        <f ca="1">VLOOKUP("   d        b       t", INDIRECT("'"&amp;Inputs!$C$4&amp;"'!"&amp;"$A$1:$AJ$55"),8,FALSE)</f>
        <v>Ag</v>
      </c>
      <c r="AB30" s="74" t="str">
        <f ca="1">VLOOKUP("   d        b       t", INDIRECT("'"&amp;Inputs!$C$4&amp;"'!"&amp;"$A$1:$AJ$55"),9,FALSE)</f>
        <v>Calc. Ag</v>
      </c>
      <c r="AC30" s="74" t="str">
        <f ca="1">VLOOKUP("   d        b       t", INDIRECT("'"&amp;Inputs!$C$4&amp;"'!"&amp;"$A$1:$AJ$55"),10,FALSE)</f>
        <v>Ix</v>
      </c>
      <c r="AD30" s="74" t="str">
        <f ca="1">VLOOKUP("   d        b       t", INDIRECT("'"&amp;Inputs!$C$4&amp;"'!"&amp;"$A$1:$AJ$55"),11,FALSE)</f>
        <v>Zx</v>
      </c>
      <c r="AE30" s="74" t="str">
        <f ca="1">VLOOKUP("   d        b       t", INDIRECT("'"&amp;Inputs!$C$4&amp;"'!"&amp;"$A$1:$AJ$55"),12,FALSE)</f>
        <v>Sx</v>
      </c>
      <c r="AF30" s="74" t="str">
        <f ca="1">VLOOKUP("   d        b       t", INDIRECT("'"&amp;Inputs!$C$4&amp;"'!"&amp;"$A$1:$AJ$55"),13,FALSE)</f>
        <v>rx</v>
      </c>
      <c r="AG30" s="74" t="str">
        <f ca="1">VLOOKUP("   d        b       t", INDIRECT("'"&amp;Inputs!$C$4&amp;"'!"&amp;"$A$1:$AJ$55"),14,FALSE)</f>
        <v>Iy</v>
      </c>
      <c r="AH30" s="74" t="str">
        <f ca="1">VLOOKUP("   d        b       t", INDIRECT("'"&amp;Inputs!$C$4&amp;"'!"&amp;"$A$1:$AJ$55"),15,FALSE)</f>
        <v>Zy</v>
      </c>
      <c r="AI30" s="74" t="str">
        <f ca="1">VLOOKUP("   d        b       t", INDIRECT("'"&amp;Inputs!$C$4&amp;"'!"&amp;"$A$1:$AJ$55"),16,FALSE)</f>
        <v>Sy</v>
      </c>
      <c r="AJ30" s="74" t="str">
        <f ca="1">VLOOKUP("   d        b       t", INDIRECT("'"&amp;Inputs!$C$4&amp;"'!"&amp;"$A$1:$AJ$55"),17,FALSE)</f>
        <v>ry</v>
      </c>
      <c r="AK30" s="74" t="str">
        <f ca="1">VLOOKUP("   d        b       t", INDIRECT("'"&amp;Inputs!$C$4&amp;"'!"&amp;"$A$1:$AJ$55"),18,FALSE)</f>
        <v>J</v>
      </c>
      <c r="AL30" s="74" t="str">
        <f ca="1">VLOOKUP("   d        b       t", INDIRECT("'"&amp;Inputs!$C$4&amp;"'!"&amp;"$A$1:$AJ$55"),19,FALSE)</f>
        <v>Iw</v>
      </c>
      <c r="AM30" s="74" t="str">
        <f ca="1">VLOOKUP("   d        b       t", INDIRECT("'"&amp;Inputs!$C$4&amp;"'!"&amp;"$A$1:$AJ$55"),20,FALSE)</f>
        <v>(PhiMsx)</v>
      </c>
      <c r="AN30" s="74" t="str">
        <f ca="1">VLOOKUP("   d        b       t", INDIRECT("'"&amp;Inputs!$C$4&amp;"'!"&amp;"$A$1:$AJ$55"),21,FALSE)</f>
        <v>(PhiMsy)</v>
      </c>
      <c r="AO30" s="74" t="str">
        <f ca="1">VLOOKUP("   d        b       t", INDIRECT("'"&amp;Inputs!$C$4&amp;"'!"&amp;"$A$1:$AJ$55"),22,FALSE)</f>
        <v>d1</v>
      </c>
      <c r="AP30" s="74" t="str">
        <f ca="1">VLOOKUP("   d        b       t", INDIRECT("'"&amp;Inputs!$C$4&amp;"'!"&amp;"$A$1:$AJ$55"),23,FALSE)</f>
        <v>(bf-tw)/2</v>
      </c>
      <c r="AQ30" s="74" t="str">
        <f ca="1">VLOOKUP("   d        b       t", INDIRECT("'"&amp;Inputs!$C$4&amp;"'!"&amp;"$A$1:$AJ$55"),24,FALSE)</f>
        <v>nw</v>
      </c>
      <c r="AR30" s="74" t="str">
        <f ca="1">VLOOKUP("   d        b       t", INDIRECT("'"&amp;Inputs!$C$4&amp;"'!"&amp;"$A$1:$AJ$55"),25,FALSE)</f>
        <v>fyw</v>
      </c>
      <c r="AS30" s="74" t="str">
        <f ca="1">VLOOKUP("   d        b       t", INDIRECT("'"&amp;Inputs!$C$4&amp;"'!"&amp;"$A$1:$AJ$55"),26,FALSE)</f>
        <v>fyf</v>
      </c>
      <c r="AT30" s="74" t="str">
        <f ca="1">VLOOKUP("   d        b       t", INDIRECT("'"&amp;Inputs!$C$4&amp;"'!"&amp;"$A$1:$AJ$55"),27,FALSE)</f>
        <v>kf</v>
      </c>
      <c r="AU30" s="74" t="str">
        <f ca="1">VLOOKUP("   d        b       t", INDIRECT("'"&amp;Inputs!$C$4&amp;"'!"&amp;"$A$1:$AJ$55"),28,FALSE)</f>
        <v>kf override</v>
      </c>
      <c r="AV30" s="74" t="str">
        <f ca="1">VLOOKUP("   d        b       t", INDIRECT("'"&amp;Inputs!$C$4&amp;"'!"&amp;"$A$1:$AJ$55"),29,FALSE)</f>
        <v>λey (web)</v>
      </c>
      <c r="AW30" s="74" t="str">
        <f ca="1">VLOOKUP("   d        b       t", INDIRECT("'"&amp;Inputs!$C$4&amp;"'!"&amp;"$A$1:$AJ$55"),30,FALSE)</f>
        <v>λey (flange)</v>
      </c>
      <c r="AX30" s="74" t="str">
        <f ca="1">VLOOKUP("   d        b       t", INDIRECT("'"&amp;Inputs!$C$4&amp;"'!"&amp;"$A$1:$AJ$55"),31,FALSE)</f>
        <v>λe (web)</v>
      </c>
      <c r="AY30" s="74" t="str">
        <f ca="1">VLOOKUP("   d        b       t", INDIRECT("'"&amp;Inputs!$C$4&amp;"'!"&amp;"$A$1:$AJ$55"),32,FALSE)</f>
        <v>λe (flange)</v>
      </c>
      <c r="AZ30" s="74" t="str">
        <f ca="1">VLOOKUP("   d        b       t", INDIRECT("'"&amp;Inputs!$C$4&amp;"'!"&amp;"$A$1:$AJ$55"),33,FALSE)</f>
        <v>be (web)</v>
      </c>
      <c r="BA30" s="74" t="str">
        <f ca="1">VLOOKUP("   d        b       t", INDIRECT("'"&amp;Inputs!$C$4&amp;"'!"&amp;"$A$1:$AJ$55"),34,FALSE)</f>
        <v>be (flange)</v>
      </c>
      <c r="BB30" s="74" t="str">
        <f ca="1">VLOOKUP("   d        b       t", INDIRECT("'"&amp;Inputs!$C$4&amp;"'!"&amp;"$A$1:$AJ$55"),35,FALSE)</f>
        <v>Ae</v>
      </c>
      <c r="BC30" s="74" t="str">
        <f ca="1">VLOOKUP("   d        b       t", INDIRECT("'"&amp;Inputs!$C$4&amp;"'!"&amp;"$A$1:$AJ$55"),36,FALSE)</f>
        <v>Root Radius Area</v>
      </c>
      <c r="BD30" s="74">
        <f ca="1">VLOOKUP("   d        b       t", INDIRECT("'"&amp;Inputs!$C$4&amp;"'!"&amp;"$A$1:$BJ$55"),37,FALSE)</f>
        <v>0</v>
      </c>
      <c r="BE30" s="74">
        <f ca="1">VLOOKUP("   d        b       t", INDIRECT("'"&amp;Inputs!$C$4&amp;"'!"&amp;"$A$1:$BJ$55"),38,FALSE)</f>
        <v>0</v>
      </c>
      <c r="BF30" s="74">
        <f ca="1">VLOOKUP("   d        b       t", INDIRECT("'"&amp;Inputs!$C$4&amp;"'!"&amp;"$A$1:$BJ$55"),39,FALSE)</f>
        <v>0</v>
      </c>
      <c r="BG30" s="74">
        <f ca="1">VLOOKUP("   d        b       t", INDIRECT("'"&amp;Inputs!$C$4&amp;"'!"&amp;"$A$1:$BJ$55"),40,FALSE)</f>
        <v>0</v>
      </c>
      <c r="BH30" s="74">
        <f ca="1">VLOOKUP("   d        b       t", INDIRECT("'"&amp;Inputs!$C$4&amp;"'!"&amp;"$A$1:$BJ$55"),41,FALSE)</f>
        <v>0</v>
      </c>
      <c r="BI30" s="74">
        <f ca="1">VLOOKUP("   d        b       t", INDIRECT("'"&amp;Inputs!$C$4&amp;"'!"&amp;"$A$1:$BJ$55"),42,FALSE)</f>
        <v>0</v>
      </c>
      <c r="BJ30" s="74">
        <f ca="1">VLOOKUP("   d        b       t", INDIRECT("'"&amp;Inputs!$C$4&amp;"'!"&amp;"$A$1:$BJ$55"),43,FALSE)</f>
        <v>0</v>
      </c>
      <c r="BK30" s="74">
        <f ca="1">VLOOKUP("   d        b       t", INDIRECT("'"&amp;Inputs!$C$4&amp;"'!"&amp;"$A$1:$BJ$55"),44,FALSE)</f>
        <v>0</v>
      </c>
      <c r="BL30" s="74">
        <f ca="1">VLOOKUP("   d        b       t", INDIRECT("'"&amp;Inputs!$C$4&amp;"'!"&amp;"$A$1:$BJ$55"),45,FALSE)</f>
        <v>0</v>
      </c>
      <c r="BM30" s="74">
        <f ca="1">VLOOKUP("   d        b       t", INDIRECT("'"&amp;Inputs!$C$4&amp;"'!"&amp;"$A$1:$BJ$55"),46,FALSE)</f>
        <v>0</v>
      </c>
      <c r="BN30" s="74">
        <f ca="1">VLOOKUP("   d        b       t", INDIRECT("'"&amp;Inputs!$C$4&amp;"'!"&amp;"$A$1:$BJ$55"),47,FALSE)</f>
        <v>0</v>
      </c>
      <c r="BO30" s="74">
        <f ca="1">VLOOKUP("   d        b       t", INDIRECT("'"&amp;Inputs!$C$4&amp;"'!"&amp;"$A$1:$BJ$55"),48,FALSE)</f>
        <v>0</v>
      </c>
      <c r="BP30" s="74">
        <f ca="1">VLOOKUP("   d        b       t", INDIRECT("'"&amp;Inputs!$C$4&amp;"'!"&amp;"$A$1:$BJ$55"),49,FALSE)</f>
        <v>0</v>
      </c>
      <c r="BQ30" s="74">
        <f ca="1">VLOOKUP("   d        b       t", INDIRECT("'"&amp;Inputs!$C$4&amp;"'!"&amp;"$A$1:$BJ$55"),50,FALSE)</f>
        <v>0</v>
      </c>
      <c r="BR30" s="74">
        <f ca="1">VLOOKUP("   d        b       t", INDIRECT("'"&amp;Inputs!$C$4&amp;"'!"&amp;"$A$1:$BJ$55"),51,FALSE)</f>
        <v>0</v>
      </c>
      <c r="BS30" s="74">
        <f ca="1">VLOOKUP("   d        b       t", INDIRECT("'"&amp;Inputs!$C$4&amp;"'!"&amp;"$A$1:$BJ$55"),52,FALSE)</f>
        <v>0</v>
      </c>
      <c r="BT30" s="74">
        <f ca="1">VLOOKUP("   d        b       t", INDIRECT("'"&amp;Inputs!$C$4&amp;"'!"&amp;"$A$1:$BJ$55"),53,FALSE)</f>
        <v>0</v>
      </c>
      <c r="BU30" s="74">
        <f ca="1">VLOOKUP("   d        b       t", INDIRECT("'"&amp;Inputs!$C$4&amp;"'!"&amp;"$A$1:$BJ$55"),54,FALSE)</f>
        <v>0</v>
      </c>
      <c r="BV30" s="74">
        <f ca="1">VLOOKUP("   d        b       t", INDIRECT("'"&amp;Inputs!$C$4&amp;"'!"&amp;"$A$1:$BJ$55"),55,FALSE)</f>
        <v>0</v>
      </c>
      <c r="BW30" s="74">
        <f ca="1">VLOOKUP("   d        b       t", INDIRECT("'"&amp;Inputs!$C$4&amp;"'!"&amp;"$A$1:$BJ$55"),56,FALSE)</f>
        <v>0</v>
      </c>
      <c r="BX30" s="74">
        <f ca="1">VLOOKUP("   d        b       t", INDIRECT("'"&amp;Inputs!$C$4&amp;"'!"&amp;"$A$1:$BJ$55"),57,FALSE)</f>
        <v>0</v>
      </c>
      <c r="BY30" s="74">
        <f ca="1">VLOOKUP("   d        b       t", INDIRECT("'"&amp;Inputs!$C$4&amp;"'!"&amp;"$A$1:$BJ$55"),58,FALSE)</f>
        <v>0</v>
      </c>
      <c r="BZ30" s="74">
        <f ca="1">VLOOKUP("   d        b       t", INDIRECT("'"&amp;Inputs!$C$4&amp;"'!"&amp;"$A$1:$BJ$55"),59,FALSE)</f>
        <v>0</v>
      </c>
      <c r="CA30" s="74">
        <f ca="1">VLOOKUP("   d        b       t", INDIRECT("'"&amp;Inputs!$C$4&amp;"'!"&amp;"$A$1:$BJ$55"),60,FALSE)</f>
        <v>0</v>
      </c>
      <c r="CB30" s="74">
        <f ca="1">VLOOKUP("   d        b       t", INDIRECT("'"&amp;Inputs!$C$4&amp;"'!"&amp;"$A$1:$BJ$55"),61,FALSE)</f>
        <v>0</v>
      </c>
      <c r="CC30" s="74">
        <f ca="1">VLOOKUP("   d        b       t", INDIRECT("'"&amp;Inputs!$C$4&amp;"'!"&amp;"$A$1:$BJ$55"),62,FALSE)</f>
        <v>0</v>
      </c>
    </row>
    <row r="31" spans="1:81">
      <c r="A31" s="10" t="s">
        <v>97</v>
      </c>
      <c r="B31" s="85">
        <f>VLOOKUP("CTBoth"&amp;Inputs!G5,'Moment_Calculations (2)'!S2:Z27,7,0)</f>
        <v>115</v>
      </c>
      <c r="C31" s="85">
        <f>VLOOKUP("UCOne"&amp;Inputs!G5,'Moment_Calculations (2)'!S2:Z27,7,0)</f>
        <v>16</v>
      </c>
      <c r="D31" s="85"/>
      <c r="E31" s="91" t="s">
        <v>438</v>
      </c>
      <c r="F31" s="85"/>
      <c r="G31" s="85"/>
      <c r="H31" s="85"/>
      <c r="I31" s="85"/>
      <c r="J31" s="85"/>
      <c r="K31" s="85"/>
      <c r="N31" s="1" t="s">
        <v>41</v>
      </c>
      <c r="O31" s="2" t="s">
        <v>68</v>
      </c>
      <c r="P31" s="2">
        <v>0.8</v>
      </c>
      <c r="Q31" s="6"/>
      <c r="T31" s="74" t="str">
        <f ca="1">VLOOKUP(Inputs!$C$5, INDIRECT("'"&amp;Inputs!$C$4&amp;"'!"&amp;"$A$5:$AJ$55"),1,FALSE)</f>
        <v>530UB82</v>
      </c>
      <c r="U31" s="74">
        <f ca="1">VLOOKUP(Inputs!$C$5, INDIRECT("'"&amp;Inputs!$C$4&amp;"'!"&amp;"$A$5:$AJ$55"),2,FALSE)</f>
        <v>528</v>
      </c>
      <c r="V31" s="74">
        <f ca="1">VLOOKUP(Inputs!$C$5, INDIRECT("'"&amp;Inputs!$C$4&amp;"'!"&amp;"$A$5:$AJ$55"),3,FALSE)</f>
        <v>209</v>
      </c>
      <c r="W31" s="74">
        <f ca="1">VLOOKUP(Inputs!$C$5, INDIRECT("'"&amp;Inputs!$C$4&amp;"'!"&amp;"$A$5:$AJ$55"),4,FALSE)</f>
        <v>13.2</v>
      </c>
      <c r="X31" s="74">
        <f ca="1">VLOOKUP(Inputs!$C$5, INDIRECT("'"&amp;Inputs!$C$4&amp;"'!"&amp;"$A$5:$AJ$55"),5,FALSE)</f>
        <v>9.6</v>
      </c>
      <c r="Y31" s="74">
        <f ca="1">VLOOKUP(Inputs!$C$5, INDIRECT("'"&amp;Inputs!$C$4&amp;"'!"&amp;"$A$5:$AJ$55"),6,FALSE)</f>
        <v>14</v>
      </c>
      <c r="Z31" s="74">
        <f ca="1">VLOOKUP(Inputs!$C$5, INDIRECT("'"&amp;Inputs!$C$4&amp;"'!"&amp;"$A$5:$AJ$55"),7,FALSE)</f>
        <v>0</v>
      </c>
      <c r="AA31" s="74">
        <f ca="1">VLOOKUP(Inputs!$C$5, INDIRECT("'"&amp;Inputs!$C$4&amp;"'!"&amp;"$A$5:$AJ$55"),8,FALSE)</f>
        <v>10500</v>
      </c>
      <c r="AB31" s="74">
        <f ca="1">VLOOKUP(Inputs!$C$5, INDIRECT("'"&amp;Inputs!$C$4&amp;"'!"&amp;"$A$5:$AJ$55"),9,FALSE)</f>
        <v>10332.959999999999</v>
      </c>
      <c r="AC31" s="74">
        <f ca="1">VLOOKUP(Inputs!$C$5, INDIRECT("'"&amp;Inputs!$C$4&amp;"'!"&amp;"$A$5:$AJ$55"),10,FALSE)</f>
        <v>477000000</v>
      </c>
      <c r="AD31" s="74">
        <f ca="1">VLOOKUP(Inputs!$C$5, INDIRECT("'"&amp;Inputs!$C$4&amp;"'!"&amp;"$A$5:$AJ$55"),11,FALSE)</f>
        <v>1810000</v>
      </c>
      <c r="AE31" s="74">
        <f ca="1">VLOOKUP(Inputs!$C$5, INDIRECT("'"&amp;Inputs!$C$4&amp;"'!"&amp;"$A$5:$AJ$55"),12,FALSE)</f>
        <v>2070000</v>
      </c>
      <c r="AF31" s="74">
        <f ca="1">VLOOKUP(Inputs!$C$5, INDIRECT("'"&amp;Inputs!$C$4&amp;"'!"&amp;"$A$5:$AJ$55"),13,FALSE)</f>
        <v>213</v>
      </c>
      <c r="AG31" s="74">
        <f ca="1">VLOOKUP(Inputs!$C$5, INDIRECT("'"&amp;Inputs!$C$4&amp;"'!"&amp;"$A$5:$AJ$55"),14,FALSE)</f>
        <v>20100000</v>
      </c>
      <c r="AH31" s="74">
        <f ca="1">VLOOKUP(Inputs!$C$5, INDIRECT("'"&amp;Inputs!$C$4&amp;"'!"&amp;"$A$5:$AJ$55"),15,FALSE)</f>
        <v>193000</v>
      </c>
      <c r="AI31" s="74">
        <f ca="1">VLOOKUP(Inputs!$C$5, INDIRECT("'"&amp;Inputs!$C$4&amp;"'!"&amp;"$A$5:$AJ$55"),16,FALSE)</f>
        <v>301000</v>
      </c>
      <c r="AJ31" s="74">
        <f ca="1">VLOOKUP(Inputs!$C$5, INDIRECT("'"&amp;Inputs!$C$4&amp;"'!"&amp;"$A$5:$AJ$55"),17,FALSE)</f>
        <v>43.8</v>
      </c>
      <c r="AK31" s="74">
        <f ca="1">VLOOKUP(Inputs!$C$5, INDIRECT("'"&amp;Inputs!$C$4&amp;"'!"&amp;"$A$5:$AJ$55"),18,FALSE)</f>
        <v>526000</v>
      </c>
      <c r="AL31" s="74">
        <f ca="1">VLOOKUP(Inputs!$C$5, INDIRECT("'"&amp;Inputs!$C$4&amp;"'!"&amp;"$A$5:$AJ$55"),19,FALSE)</f>
        <v>1330000000000</v>
      </c>
      <c r="AM31" s="74">
        <f ca="1">VLOOKUP(Inputs!$C$5, INDIRECT("'"&amp;Inputs!$C$4&amp;"'!"&amp;"$A$5:$AJ$55"),20,FALSE)</f>
        <v>0</v>
      </c>
      <c r="AN31" s="74">
        <f ca="1">VLOOKUP(Inputs!$C$5, INDIRECT("'"&amp;Inputs!$C$4&amp;"'!"&amp;"$A$5:$AJ$55"),21,FALSE)</f>
        <v>0</v>
      </c>
      <c r="AO31" s="74">
        <f ca="1">VLOOKUP(Inputs!$C$5, INDIRECT("'"&amp;Inputs!$C$4&amp;"'!"&amp;"$A$5:$AJ$55"),22,FALSE)</f>
        <v>501.6</v>
      </c>
      <c r="AP31" s="74">
        <f ca="1">VLOOKUP(Inputs!$C$5, INDIRECT("'"&amp;Inputs!$C$4&amp;"'!"&amp;"$A$5:$AJ$55"),23,FALSE)</f>
        <v>99.7</v>
      </c>
      <c r="AQ31" s="74">
        <f ca="1">VLOOKUP(Inputs!$C$5, INDIRECT("'"&amp;Inputs!$C$4&amp;"'!"&amp;"$A$5:$AJ$55"),24,FALSE)</f>
        <v>1</v>
      </c>
      <c r="AR31" s="74">
        <f ca="1">VLOOKUP(Inputs!$C$5, INDIRECT("'"&amp;Inputs!$C$4&amp;"'!"&amp;"$A$5:$AJ$55"),25,FALSE)</f>
        <v>320</v>
      </c>
      <c r="AS31" s="74">
        <f ca="1">VLOOKUP(Inputs!$C$5, INDIRECT("'"&amp;Inputs!$C$4&amp;"'!"&amp;"$A$5:$AJ$55"),26,FALSE)</f>
        <v>300</v>
      </c>
      <c r="AT31" s="74">
        <f ca="1">VLOOKUP(Inputs!$C$5, INDIRECT("'"&amp;Inputs!$C$4&amp;"'!"&amp;"$A$5:$AJ$55"),27,FALSE)</f>
        <v>0.90200000000000002</v>
      </c>
      <c r="AU31" s="74">
        <f ca="1">VLOOKUP(Inputs!$C$5, INDIRECT("'"&amp;Inputs!$C$4&amp;"'!"&amp;"$A$5:$AJ$55"),28,FALSE)</f>
        <v>0.90200000000000002</v>
      </c>
      <c r="AV31" s="74">
        <f ca="1">VLOOKUP(Inputs!$C$5, INDIRECT("'"&amp;Inputs!$C$4&amp;"'!"&amp;"$A$5:$AJ$55"),29,FALSE)</f>
        <v>45</v>
      </c>
      <c r="AW31" s="74">
        <f ca="1">VLOOKUP(Inputs!$C$5, INDIRECT("'"&amp;Inputs!$C$4&amp;"'!"&amp;"$A$5:$AJ$55"),30,FALSE)</f>
        <v>16</v>
      </c>
      <c r="AX31" s="74">
        <f ca="1">VLOOKUP(Inputs!$C$5, INDIRECT("'"&amp;Inputs!$C$4&amp;"'!"&amp;"$A$5:$AJ$55"),31,FALSE)</f>
        <v>59.114126907195377</v>
      </c>
      <c r="AY31" s="74">
        <f ca="1">VLOOKUP(Inputs!$C$5, INDIRECT("'"&amp;Inputs!$C$4&amp;"'!"&amp;"$A$5:$AJ$55"),32,FALSE)</f>
        <v>8.273930148979554</v>
      </c>
      <c r="AZ31" s="74">
        <f ca="1">VLOOKUP(Inputs!$C$5, INDIRECT("'"&amp;Inputs!$C$4&amp;"'!"&amp;"$A$5:$AJ$55"),33,FALSE)</f>
        <v>381.83766184073568</v>
      </c>
      <c r="BA31" s="74">
        <f ca="1">VLOOKUP(Inputs!$C$5, INDIRECT("'"&amp;Inputs!$C$4&amp;"'!"&amp;"$A$5:$AJ$55"),34,FALSE)</f>
        <v>99.7</v>
      </c>
      <c r="BB31" s="74">
        <f ca="1">VLOOKUP(Inputs!$C$5, INDIRECT("'"&amp;Inputs!$C$4&amp;"'!"&amp;"$A$5:$AJ$55"),35,FALSE)</f>
        <v>9183.2415536710632</v>
      </c>
      <c r="BC31" s="74">
        <f ca="1">VLOOKUP(Inputs!$C$5, INDIRECT("'"&amp;Inputs!$C$4&amp;"'!"&amp;"$A$5:$AJ$55"),36,FALSE)</f>
        <v>0</v>
      </c>
      <c r="BD31" s="74">
        <f ca="1">VLOOKUP(Inputs!$C$5, INDIRECT("'"&amp;Inputs!$C$4&amp;"'!"&amp;"$A$5:$BJ$55"),37,FALSE)</f>
        <v>0</v>
      </c>
      <c r="BE31" s="74">
        <f ca="1">VLOOKUP(Inputs!$C$5, INDIRECT("'"&amp;Inputs!$C$4&amp;"'!"&amp;"$A$5:$BJ$55"),38,FALSE)</f>
        <v>0</v>
      </c>
      <c r="BF31" s="74">
        <f ca="1">VLOOKUP(Inputs!$C$5, INDIRECT("'"&amp;Inputs!$C$4&amp;"'!"&amp;"$A$5:$BJ$55"),39,FALSE)</f>
        <v>0</v>
      </c>
      <c r="BG31" s="74">
        <f ca="1">VLOOKUP(Inputs!$C$5, INDIRECT("'"&amp;Inputs!$C$4&amp;"'!"&amp;"$A$5:$BJ$55"),40,FALSE)</f>
        <v>0</v>
      </c>
      <c r="BH31" s="74">
        <f ca="1">VLOOKUP(Inputs!$C$5, INDIRECT("'"&amp;Inputs!$C$4&amp;"'!"&amp;"$A$5:$BJ$55"),41,FALSE)</f>
        <v>0</v>
      </c>
      <c r="BI31" s="74">
        <f ca="1">VLOOKUP(Inputs!$C$5, INDIRECT("'"&amp;Inputs!$C$4&amp;"'!"&amp;"$A$5:$BJ$55"),42,FALSE)</f>
        <v>0</v>
      </c>
      <c r="BJ31" s="74">
        <f ca="1">VLOOKUP(Inputs!$C$5, INDIRECT("'"&amp;Inputs!$C$4&amp;"'!"&amp;"$A$5:$BJ$55"),43,FALSE)</f>
        <v>0</v>
      </c>
      <c r="BK31" s="74">
        <f ca="1">VLOOKUP(Inputs!$C$5, INDIRECT("'"&amp;Inputs!$C$4&amp;"'!"&amp;"$A$5:$BJ$55"),44,FALSE)</f>
        <v>0</v>
      </c>
      <c r="BL31" s="74">
        <f ca="1">VLOOKUP(Inputs!$C$5, INDIRECT("'"&amp;Inputs!$C$4&amp;"'!"&amp;"$A$5:$BJ$55"),45,FALSE)</f>
        <v>0</v>
      </c>
      <c r="BM31" s="74">
        <f ca="1">VLOOKUP(Inputs!$C$5, INDIRECT("'"&amp;Inputs!$C$4&amp;"'!"&amp;"$A$5:$BJ$55"),46,FALSE)</f>
        <v>0</v>
      </c>
      <c r="BN31" s="74">
        <f ca="1">VLOOKUP(Inputs!$C$5, INDIRECT("'"&amp;Inputs!$C$4&amp;"'!"&amp;"$A$5:$BJ$55"),47,FALSE)</f>
        <v>0</v>
      </c>
      <c r="BO31" s="74">
        <f ca="1">VLOOKUP(Inputs!$C$5, INDIRECT("'"&amp;Inputs!$C$4&amp;"'!"&amp;"$A$5:$BJ$55"),48,FALSE)</f>
        <v>0</v>
      </c>
      <c r="BP31" s="74">
        <f ca="1">VLOOKUP(Inputs!$C$5, INDIRECT("'"&amp;Inputs!$C$4&amp;"'!"&amp;"$A$5:$BJ$55"),49,FALSE)</f>
        <v>0</v>
      </c>
      <c r="BQ31" s="74">
        <f ca="1">VLOOKUP(Inputs!$C$5, INDIRECT("'"&amp;Inputs!$C$4&amp;"'!"&amp;"$A$5:$BJ$55"),50,FALSE)</f>
        <v>0</v>
      </c>
      <c r="BR31" s="74">
        <f ca="1">VLOOKUP(Inputs!$C$5, INDIRECT("'"&amp;Inputs!$C$4&amp;"'!"&amp;"$A$5:$BJ$55"),51,FALSE)</f>
        <v>0</v>
      </c>
      <c r="BS31" s="74">
        <f ca="1">VLOOKUP(Inputs!$C$5, INDIRECT("'"&amp;Inputs!$C$4&amp;"'!"&amp;"$A$5:$BJ$55"),52,FALSE)</f>
        <v>0</v>
      </c>
      <c r="BT31" s="74">
        <f ca="1">VLOOKUP(Inputs!$C$5, INDIRECT("'"&amp;Inputs!$C$4&amp;"'!"&amp;"$A$5:$BJ$55"),53,FALSE)</f>
        <v>0</v>
      </c>
      <c r="BU31" s="74">
        <f ca="1">VLOOKUP(Inputs!$C$5, INDIRECT("'"&amp;Inputs!$C$4&amp;"'!"&amp;"$A$5:$BJ$55"),54,FALSE)</f>
        <v>0</v>
      </c>
      <c r="BV31" s="74">
        <f ca="1">VLOOKUP(Inputs!$C$5, INDIRECT("'"&amp;Inputs!$C$4&amp;"'!"&amp;"$A$5:$BJ$55"),55,FALSE)</f>
        <v>0</v>
      </c>
      <c r="BW31" s="74">
        <f ca="1">VLOOKUP(Inputs!$C$5, INDIRECT("'"&amp;Inputs!$C$4&amp;"'!"&amp;"$A$5:$BJ$55"),56,FALSE)</f>
        <v>0</v>
      </c>
      <c r="BX31" s="74">
        <f ca="1">VLOOKUP(Inputs!$C$5, INDIRECT("'"&amp;Inputs!$C$4&amp;"'!"&amp;"$A$5:$BJ$55"),57,FALSE)</f>
        <v>0</v>
      </c>
      <c r="BY31" s="74">
        <f ca="1">VLOOKUP(Inputs!$C$5, INDIRECT("'"&amp;Inputs!$C$4&amp;"'!"&amp;"$A$5:$BJ$55"),58,FALSE)</f>
        <v>0</v>
      </c>
      <c r="BZ31" s="74">
        <f ca="1">VLOOKUP(Inputs!$C$5, INDIRECT("'"&amp;Inputs!$C$4&amp;"'!"&amp;"$A$5:$BJ$55"),59,FALSE)</f>
        <v>0</v>
      </c>
      <c r="CA31" s="74">
        <f ca="1">VLOOKUP(Inputs!$C$5, INDIRECT("'"&amp;Inputs!$C$4&amp;"'!"&amp;"$A$5:$BJ$55"),60,FALSE)</f>
        <v>0</v>
      </c>
      <c r="CB31" s="74">
        <f ca="1">VLOOKUP(Inputs!$C$5, INDIRECT("'"&amp;Inputs!$C$4&amp;"'!"&amp;"$A$5:$BJ$55"),61,FALSE)</f>
        <v>0</v>
      </c>
      <c r="CC31" s="74">
        <f ca="1">VLOOKUP(Inputs!$C$5, INDIRECT("'"&amp;Inputs!$C$4&amp;"'!"&amp;"$A$5:$BJ$55"),62,FALSE)</f>
        <v>0</v>
      </c>
    </row>
    <row r="32" spans="1:81">
      <c r="A32" s="10" t="s">
        <v>101</v>
      </c>
      <c r="B32" s="88">
        <f ca="1">B30/B31</f>
        <v>0</v>
      </c>
      <c r="C32" s="88">
        <f ca="1">C30/C31</f>
        <v>5.591346697776561E-3</v>
      </c>
      <c r="D32" s="85"/>
      <c r="E32" s="85"/>
      <c r="F32" s="85"/>
      <c r="G32" s="85"/>
      <c r="H32" s="85"/>
      <c r="I32" s="85"/>
      <c r="J32" s="85"/>
      <c r="K32" s="85"/>
      <c r="N32" s="1" t="s">
        <v>42</v>
      </c>
      <c r="O32" s="2" t="s">
        <v>69</v>
      </c>
      <c r="P32" s="2">
        <v>0.8</v>
      </c>
      <c r="Q32" s="6"/>
      <c r="S32" s="74" t="str">
        <f ca="1">VLOOKUP("Designation", INDIRECT("'"&amp;Inputs!$C$4&amp;"'!"&amp;"$A$1:$AJ$55"),1,FALSE)</f>
        <v>Designation</v>
      </c>
    </row>
    <row r="33" spans="1:33">
      <c r="A33" s="74" t="s">
        <v>111</v>
      </c>
      <c r="B33" s="85">
        <f>VLOOKUP("CTBoth"&amp;Inputs!G5,'Moment_Calculations (2)'!S2:Z27,6,0)</f>
        <v>82</v>
      </c>
      <c r="C33" s="85">
        <f>VLOOKUP("UCOne"&amp;Inputs!G5,'Moment_Calculations (2)'!S2:Z27,6,0)</f>
        <v>10</v>
      </c>
      <c r="D33" s="85"/>
      <c r="E33" s="91" t="s">
        <v>439</v>
      </c>
      <c r="F33" s="85"/>
      <c r="G33" s="85"/>
      <c r="H33" s="85"/>
      <c r="I33" s="85"/>
      <c r="J33" s="85"/>
      <c r="K33" s="85"/>
      <c r="N33" s="1" t="s">
        <v>43</v>
      </c>
      <c r="O33" s="2" t="s">
        <v>70</v>
      </c>
      <c r="P33" s="2">
        <v>0.8</v>
      </c>
      <c r="Q33" s="6"/>
      <c r="T33" s="74" t="str">
        <f ca="1">VLOOKUP(Inputs!$C$5, INDIRECT("'"&amp;Inputs!$C$4&amp;"'!"&amp;"$A$5:$AJ$55"),1,FALSE)</f>
        <v>530UB82</v>
      </c>
    </row>
    <row r="34" spans="1:33">
      <c r="A34" s="74" t="s">
        <v>417</v>
      </c>
      <c r="B34" s="74">
        <f ca="1">IF(B32&gt;C32,1,0)</f>
        <v>0</v>
      </c>
      <c r="C34" s="74">
        <f ca="1">IF(B32&lt;C32,1,0)</f>
        <v>1</v>
      </c>
      <c r="D34" s="85"/>
      <c r="E34" s="85"/>
      <c r="F34" s="85"/>
      <c r="G34" s="85"/>
      <c r="H34" s="85"/>
      <c r="I34" s="85"/>
      <c r="J34" s="85"/>
      <c r="K34" s="85"/>
      <c r="N34" s="1" t="s">
        <v>38</v>
      </c>
      <c r="O34" s="2" t="s">
        <v>71</v>
      </c>
      <c r="P34" s="2">
        <v>0.9</v>
      </c>
      <c r="Q34" s="6"/>
      <c r="S34" s="74" t="str">
        <f ca="1">VLOOKUP("   d        b       t", INDIRECT("'"&amp;Inputs!$C$4&amp;"'!"&amp;"$A$1:$AJ$55"),2,FALSE)</f>
        <v>d</v>
      </c>
      <c r="T34" s="74">
        <f ca="1">VLOOKUP(Inputs!$C$5, INDIRECT("'"&amp;Inputs!$C$4&amp;"'!"&amp;"$A$5:$AJ$55"),2,FALSE)</f>
        <v>528</v>
      </c>
    </row>
    <row r="35" spans="1:33">
      <c r="A35" s="74" t="s">
        <v>108</v>
      </c>
      <c r="B35" s="85">
        <f ca="1">IF(B30&lt;B33,1,0)</f>
        <v>1</v>
      </c>
      <c r="C35" s="85">
        <f ca="1">IF(C30&lt;C33,1,0)</f>
        <v>1</v>
      </c>
      <c r="D35" s="85"/>
      <c r="E35" s="85"/>
      <c r="F35" s="85"/>
      <c r="G35" s="85"/>
      <c r="H35" s="85"/>
      <c r="I35" s="85"/>
      <c r="J35" s="85"/>
      <c r="K35" s="85"/>
      <c r="N35" s="1" t="s">
        <v>44</v>
      </c>
      <c r="O35" s="2"/>
      <c r="P35" s="2" t="s">
        <v>50</v>
      </c>
      <c r="Q35" s="6" t="s">
        <v>51</v>
      </c>
      <c r="S35" s="74" t="str">
        <f ca="1">VLOOKUP("   d        b       t", INDIRECT("'"&amp;Inputs!$C$4&amp;"'!"&amp;"$A$1:$AJ$55"),3,FALSE)</f>
        <v>bf</v>
      </c>
      <c r="T35" s="74">
        <f ca="1">VLOOKUP(Inputs!$C$5, INDIRECT("'"&amp;Inputs!$C$4&amp;"'!"&amp;"$A$5:$AJ$55"),3,FALSE)</f>
        <v>209</v>
      </c>
    </row>
    <row r="36" spans="1:33">
      <c r="A36" s="74" t="s">
        <v>415</v>
      </c>
      <c r="B36" s="85">
        <f ca="1">IF(AND(B30&gt;B33,B30&lt;B31),1,0)</f>
        <v>0</v>
      </c>
      <c r="C36" s="85">
        <f ca="1">IF(AND(C30&gt;C33,C30&lt;C31),1,0)</f>
        <v>0</v>
      </c>
      <c r="D36" s="85"/>
      <c r="E36" s="85"/>
      <c r="F36" s="85"/>
      <c r="G36" s="85"/>
      <c r="H36" s="85"/>
      <c r="I36" s="85"/>
      <c r="J36" s="85"/>
      <c r="K36" s="85"/>
      <c r="N36" s="1" t="s">
        <v>45</v>
      </c>
      <c r="O36" s="2" t="s">
        <v>72</v>
      </c>
      <c r="P36" s="2">
        <v>0.9</v>
      </c>
      <c r="Q36" s="6">
        <v>0.6</v>
      </c>
      <c r="S36" s="74" t="str">
        <f ca="1">VLOOKUP("   d        b       t", INDIRECT("'"&amp;Inputs!$C$4&amp;"'!"&amp;"$A$1:$AJ$55"),4,FALSE)</f>
        <v>tf</v>
      </c>
      <c r="T36" s="74">
        <f ca="1">VLOOKUP(Inputs!$C$5, INDIRECT("'"&amp;Inputs!$C$4&amp;"'!"&amp;"$A$5:$AJ$55"),4,FALSE)</f>
        <v>13.2</v>
      </c>
    </row>
    <row r="37" spans="1:33">
      <c r="A37" s="74" t="s">
        <v>416</v>
      </c>
      <c r="B37" s="85">
        <f ca="1">IF(B30&gt;B31,1,0)</f>
        <v>0</v>
      </c>
      <c r="C37" s="85">
        <f ca="1">IF(C30&gt;C31,1,0)</f>
        <v>0</v>
      </c>
      <c r="D37" s="85"/>
      <c r="E37" s="85"/>
      <c r="F37" s="85"/>
      <c r="G37" s="85"/>
      <c r="H37" s="85"/>
      <c r="I37" s="85"/>
      <c r="J37" s="85"/>
      <c r="K37" s="85"/>
      <c r="N37" s="1" t="s">
        <v>46</v>
      </c>
      <c r="O37" s="2" t="s">
        <v>73</v>
      </c>
      <c r="P37" s="2">
        <v>0.7</v>
      </c>
      <c r="Q37" s="6"/>
      <c r="S37" s="74" t="str">
        <f ca="1">VLOOKUP("   d        b       t", INDIRECT("'"&amp;Inputs!$C$4&amp;"'!"&amp;"$A$1:$AJ$55"),5,FALSE)</f>
        <v>tw</v>
      </c>
      <c r="T37" s="74">
        <f ca="1">VLOOKUP(Inputs!$C$5, INDIRECT("'"&amp;Inputs!$C$4&amp;"'!"&amp;"$A$5:$AJ$55"),5,FALSE)</f>
        <v>9.6</v>
      </c>
    </row>
    <row r="38" spans="1:33">
      <c r="A38" s="74" t="s">
        <v>381</v>
      </c>
      <c r="B38" s="78" t="e">
        <f ca="1">MAX(B39:C41)</f>
        <v>#DIV/0!</v>
      </c>
      <c r="D38" s="85"/>
      <c r="E38" s="85"/>
      <c r="F38" s="85"/>
      <c r="G38" s="85"/>
      <c r="H38" s="85"/>
      <c r="I38" s="85"/>
      <c r="J38" s="85"/>
      <c r="K38" s="85"/>
      <c r="N38" s="1" t="s">
        <v>47</v>
      </c>
      <c r="O38" s="2" t="s">
        <v>73</v>
      </c>
      <c r="P38" s="2">
        <v>0.8</v>
      </c>
      <c r="Q38" s="6">
        <v>0.6</v>
      </c>
      <c r="S38" s="74" t="str">
        <f ca="1">VLOOKUP("   d        b       t", INDIRECT("'"&amp;Inputs!$C$4&amp;"'!"&amp;"$A$1:$AJ$55"),6,FALSE)</f>
        <v>r1</v>
      </c>
      <c r="T38" s="74">
        <f ca="1">VLOOKUP(Inputs!$C$5, INDIRECT("'"&amp;Inputs!$C$4&amp;"'!"&amp;"$A$5:$AJ$55"),6,FALSE)</f>
        <v>14</v>
      </c>
    </row>
    <row r="39" spans="1:33">
      <c r="A39" s="74" t="s">
        <v>108</v>
      </c>
      <c r="B39" s="87">
        <f ca="1">0.9*B34*B35*MIN(1.5*T41,T42)*MIN(T55,T54)/1000000</f>
        <v>0</v>
      </c>
      <c r="C39" s="85">
        <f ca="1">0.9*C34*C35*MIN(1.5*T41,T42)*MIN(T54,T55)/1000000</f>
        <v>1.3907647512000001</v>
      </c>
      <c r="D39" s="87"/>
      <c r="E39" s="85"/>
      <c r="F39" s="85"/>
      <c r="G39" s="85"/>
      <c r="H39" s="85"/>
      <c r="I39" s="85"/>
      <c r="J39" s="85"/>
      <c r="K39" s="85"/>
      <c r="N39" s="1" t="s">
        <v>48</v>
      </c>
      <c r="O39" s="2" t="s">
        <v>74</v>
      </c>
      <c r="P39" s="2">
        <v>0.8</v>
      </c>
      <c r="Q39" s="6">
        <v>0.6</v>
      </c>
      <c r="S39" s="74" t="str">
        <f ca="1">VLOOKUP("   d        b       t", INDIRECT("'"&amp;Inputs!$C$4&amp;"'!"&amp;"$A$1:$AJ$55"),7,FALSE)</f>
        <v>As</v>
      </c>
      <c r="T39" s="74">
        <f ca="1">VLOOKUP(Inputs!$C$5, INDIRECT("'"&amp;Inputs!$C$4&amp;"'!"&amp;"$A$5:$AJ$55"),7,FALSE)</f>
        <v>0</v>
      </c>
    </row>
    <row r="40" spans="1:33">
      <c r="A40" s="74" t="s">
        <v>415</v>
      </c>
      <c r="B40" s="85">
        <f ca="1">B34*B36*(T41+(((B31-B30)/(B31-B33))*(MIN(1.5*T41,T42)-T41)))</f>
        <v>0</v>
      </c>
      <c r="C40" s="85">
        <f ca="1">C34*C36*(T41+(((C31-C30)/(C31-C33))*(MIN(1.5*T41,T42)-T41)))</f>
        <v>0</v>
      </c>
      <c r="D40" s="87"/>
      <c r="E40" s="85"/>
      <c r="F40" s="85"/>
      <c r="G40" s="85"/>
      <c r="H40" s="85"/>
      <c r="I40" s="85"/>
      <c r="J40" s="85"/>
      <c r="K40" s="85"/>
      <c r="N40" s="7" t="s">
        <v>49</v>
      </c>
      <c r="O40" s="8">
        <v>9.6999999999999993</v>
      </c>
      <c r="P40" s="8">
        <v>0.8</v>
      </c>
      <c r="Q40" s="9">
        <v>0.6</v>
      </c>
      <c r="S40" s="74" t="str">
        <f ca="1">VLOOKUP("   d        b       t", INDIRECT("'"&amp;Inputs!$C$4&amp;"'!"&amp;"$A$1:$AJ$55"),8,FALSE)</f>
        <v>Ag</v>
      </c>
      <c r="T40" s="74">
        <f ca="1">VLOOKUP(Inputs!$C$5, INDIRECT("'"&amp;Inputs!$C$4&amp;"'!"&amp;"$A$5:$AJ$55"),8,FALSE)</f>
        <v>10500</v>
      </c>
    </row>
    <row r="41" spans="1:33">
      <c r="A41" s="74" t="s">
        <v>416</v>
      </c>
      <c r="B41" s="86" t="e">
        <f ca="1">B34*B37*T41*(B31/B30)^2</f>
        <v>#DIV/0!</v>
      </c>
      <c r="C41" s="89">
        <f ca="1">C34*C37*T41*(C31/C30)</f>
        <v>0</v>
      </c>
      <c r="D41" s="87"/>
      <c r="E41" s="85"/>
      <c r="F41" s="85"/>
      <c r="G41" s="85"/>
      <c r="H41" s="85"/>
      <c r="I41" s="85"/>
      <c r="J41" s="85"/>
      <c r="K41" s="85"/>
      <c r="N41" s="14" t="s">
        <v>422</v>
      </c>
      <c r="S41" s="74" t="str">
        <f ca="1">VLOOKUP("   d        b       t", INDIRECT("'"&amp;Inputs!$C$4&amp;"'!"&amp;"$A$1:$AJ$55"),9,FALSE)</f>
        <v>Calc. Ag</v>
      </c>
      <c r="T41" s="74">
        <f ca="1">VLOOKUP(Inputs!$C$5, INDIRECT("'"&amp;Inputs!$C$4&amp;"'!"&amp;"$A$5:$AJ$55"),9,FALSE)</f>
        <v>10332.959999999999</v>
      </c>
    </row>
    <row r="42" spans="1:33">
      <c r="A42" s="10" t="s">
        <v>372</v>
      </c>
      <c r="B42" s="90">
        <f>Inputs!G11</f>
        <v>1</v>
      </c>
      <c r="C42" s="88"/>
      <c r="D42" s="85"/>
      <c r="E42" s="85"/>
      <c r="F42" s="85"/>
      <c r="G42" s="85"/>
      <c r="H42" s="85"/>
      <c r="I42" s="85"/>
      <c r="J42" s="85"/>
      <c r="K42" s="85"/>
      <c r="N42" s="14" t="s">
        <v>430</v>
      </c>
      <c r="O42" s="74" t="s">
        <v>431</v>
      </c>
      <c r="P42" s="74" t="s">
        <v>426</v>
      </c>
      <c r="Q42" s="74" t="s">
        <v>432</v>
      </c>
      <c r="S42" s="74" t="str">
        <f ca="1">VLOOKUP("   d        b       t", INDIRECT("'"&amp;Inputs!$C$4&amp;"'!"&amp;"$A$1:$AJ$55"),10,FALSE)</f>
        <v>Ix</v>
      </c>
      <c r="T42" s="74">
        <f ca="1">VLOOKUP(Inputs!$C$5, INDIRECT("'"&amp;Inputs!$C$4&amp;"'!"&amp;"$A$5:$AJ$55"),10,FALSE)</f>
        <v>477000000</v>
      </c>
    </row>
    <row r="43" spans="1:33">
      <c r="A43" s="10" t="s">
        <v>421</v>
      </c>
      <c r="B43" s="90">
        <f ca="1">VLOOKUP(TRUE,$B$44:$C$46,2,0)</f>
        <v>1</v>
      </c>
      <c r="C43" s="85"/>
      <c r="D43" s="85"/>
      <c r="E43" s="85"/>
      <c r="F43" s="85"/>
      <c r="G43" s="85"/>
      <c r="H43" s="85"/>
      <c r="I43" s="85"/>
      <c r="J43" s="85"/>
      <c r="K43" s="85"/>
      <c r="M43" s="74">
        <f>IF(AND(ISNUMBER(SEARCH(Inputs!$J$8,N43)),ISNUMBER(SEARCH(Inputs!$G$8,O43))),1,0)</f>
        <v>1</v>
      </c>
      <c r="N43" s="14" t="s">
        <v>424</v>
      </c>
      <c r="O43" s="74" t="s">
        <v>428</v>
      </c>
      <c r="P43" s="74">
        <v>1</v>
      </c>
      <c r="Q43" s="14">
        <v>1.4</v>
      </c>
      <c r="S43" s="74" t="str">
        <f ca="1">VLOOKUP("   d        b       t", INDIRECT("'"&amp;Inputs!$C$4&amp;"'!"&amp;"$A$1:$AJ$55"),11,FALSE)</f>
        <v>Zx</v>
      </c>
      <c r="T43" s="74">
        <f ca="1">VLOOKUP(Inputs!$C$5, INDIRECT("'"&amp;Inputs!$C$4&amp;"'!"&amp;"$A$5:$AJ$55"),11,FALSE)</f>
        <v>1810000</v>
      </c>
    </row>
    <row r="44" spans="1:33">
      <c r="A44" s="14" t="s">
        <v>418</v>
      </c>
      <c r="B44" s="87" t="b">
        <f>ISNUMBER(SEARCH(Inputs!$G$8,'Moment_Calculations (2)'!$A$44))</f>
        <v>0</v>
      </c>
      <c r="C44" s="86">
        <v>1</v>
      </c>
      <c r="E44" s="85"/>
      <c r="F44" s="85"/>
      <c r="G44" s="85"/>
      <c r="H44" s="85"/>
      <c r="I44" s="85"/>
      <c r="J44" s="85"/>
      <c r="K44" s="85"/>
      <c r="M44" s="74">
        <f>IF(AND(ISNUMBER(SEARCH(Inputs!$J$8,N44)),ISNUMBER(SEARCH(Inputs!$G$8,O44))),1,0)</f>
        <v>0</v>
      </c>
      <c r="N44" s="14" t="s">
        <v>424</v>
      </c>
      <c r="O44" s="74" t="s">
        <v>429</v>
      </c>
      <c r="P44" s="74">
        <v>1</v>
      </c>
      <c r="Q44" s="14">
        <v>2</v>
      </c>
      <c r="S44" s="74" t="str">
        <f ca="1">VLOOKUP("   d        b       t", INDIRECT("'"&amp;Inputs!$C$4&amp;"'!"&amp;"$A$1:$AJ$55"),12,FALSE)</f>
        <v>Sx</v>
      </c>
      <c r="T44" s="74">
        <f ca="1">VLOOKUP(Inputs!$C$5, INDIRECT("'"&amp;Inputs!$C$4&amp;"'!"&amp;"$A$5:$AJ$55"),12,FALSE)</f>
        <v>2070000</v>
      </c>
      <c r="AC44" s="79" t="s">
        <v>107</v>
      </c>
      <c r="AD44" s="79"/>
      <c r="AE44" s="82" t="s">
        <v>111</v>
      </c>
      <c r="AF44" s="82" t="s">
        <v>112</v>
      </c>
      <c r="AG44" s="82" t="s">
        <v>113</v>
      </c>
    </row>
    <row r="45" spans="1:33">
      <c r="A45" s="14" t="s">
        <v>419</v>
      </c>
      <c r="B45" s="85" t="b">
        <f>ISNUMBER(SEARCH(Inputs!$G$8,'Moment_Calculations (2)'!$A$45))</f>
        <v>1</v>
      </c>
      <c r="C45" s="90">
        <f ca="1">1+((T52/Inputs!C13/1000)*('Moment_Calculations (2)'!T36/(2*'Moment_Calculations (2)'!T37))^3)/1</f>
        <v>1</v>
      </c>
      <c r="E45" s="85"/>
      <c r="F45" s="85"/>
      <c r="G45" s="85"/>
      <c r="H45" s="85"/>
      <c r="I45" s="85"/>
      <c r="J45" s="85"/>
      <c r="K45" s="85"/>
      <c r="M45" s="74">
        <f>IF(AND(ISNUMBER(SEARCH(Inputs!$J$8,N45)),ISNUMBER(SEARCH(Inputs!$G$8,O45))),1,0)</f>
        <v>0</v>
      </c>
      <c r="N45" s="14" t="s">
        <v>427</v>
      </c>
      <c r="O45" s="74" t="s">
        <v>428</v>
      </c>
      <c r="P45" s="74">
        <v>1</v>
      </c>
      <c r="Q45" s="14">
        <v>1</v>
      </c>
      <c r="S45" s="74" t="str">
        <f ca="1">VLOOKUP("   d        b       t", INDIRECT("'"&amp;Inputs!$C$4&amp;"'!"&amp;"$A$1:$AJ$55"),13,FALSE)</f>
        <v>rx</v>
      </c>
      <c r="T45" s="74">
        <f ca="1">VLOOKUP(Inputs!$C$5, INDIRECT("'"&amp;Inputs!$C$4&amp;"'!"&amp;"$A$5:$AJ$55"),13,FALSE)</f>
        <v>213</v>
      </c>
      <c r="AC45" s="79" t="s">
        <v>108</v>
      </c>
      <c r="AD45" s="79">
        <f ca="1">MIN(AE31,1.5*AD31)</f>
        <v>2070000</v>
      </c>
      <c r="AE45" s="79" t="e">
        <f ca="1">IF(C55&gt;C62,VLOOKUP(B53&amp;IF(Inputs!C4="CHS","","Flat")&amp;"Both"&amp;Inputs!G5,'Moment_Calculations (2)'!S2:Z27,6,0),VLOOKUP(B60&amp;IF(Inputs!C4="CHS","","Flat")&amp;"Both"&amp;Inputs!G5,'Moment_Calculations (2)'!S2:Z27,6,0))</f>
        <v>#N/A</v>
      </c>
      <c r="AF45" s="79" t="e">
        <f ca="1">IF(C55&gt;C62,VLOOKUP(B53&amp;IF(Inputs!C40="CHS","","Flat")&amp;"Both"&amp;Inputs!G41,'Moment_Calculations (2)'!S43:Z63,7,0),VLOOKUP(B60&amp;IF(Inputs!C40="CHS","","Flat")&amp;"Both"&amp;Inputs!G41,'Moment_Calculations (2)'!S43:Z63,7,0))</f>
        <v>#N/A</v>
      </c>
      <c r="AG45" s="79">
        <f ca="1">IF(C55&gt;C62,C52,C59)</f>
        <v>0.31246397361780409</v>
      </c>
    </row>
    <row r="46" spans="1:33">
      <c r="A46" s="14" t="s">
        <v>420</v>
      </c>
      <c r="B46" s="85" t="b">
        <f>ISNUMBER(SEARCH(Inputs!$G$8,'Moment_Calculations (2)'!$A$46))</f>
        <v>0</v>
      </c>
      <c r="C46" s="90">
        <f ca="1">1+(2*(T52/Inputs!C13/1000)*('Moment_Calculations (2)'!T36/(2*'Moment_Calculations (2)'!T37))^3)/1</f>
        <v>1</v>
      </c>
      <c r="E46" s="85"/>
      <c r="F46" s="85"/>
      <c r="G46" s="85"/>
      <c r="H46" s="85"/>
      <c r="I46" s="85"/>
      <c r="J46" s="85"/>
      <c r="K46" s="85"/>
      <c r="M46" s="74">
        <f>IF(AND(ISNUMBER(SEARCH(Inputs!$J$8,N46)),ISNUMBER(SEARCH(Inputs!$G$8,O46))),1,0)</f>
        <v>0</v>
      </c>
      <c r="N46" s="14" t="s">
        <v>427</v>
      </c>
      <c r="O46" s="74" t="s">
        <v>429</v>
      </c>
      <c r="P46" s="74">
        <v>1</v>
      </c>
      <c r="Q46" s="14">
        <v>2</v>
      </c>
      <c r="S46" s="74" t="str">
        <f ca="1">VLOOKUP("   d        b       t", INDIRECT("'"&amp;Inputs!$C$4&amp;"'!"&amp;"$A$1:$AJ$55"),14,FALSE)</f>
        <v>Iy</v>
      </c>
      <c r="T46" s="74">
        <f ca="1">VLOOKUP(Inputs!$C$5, INDIRECT("'"&amp;Inputs!$C$4&amp;"'!"&amp;"$A$5:$AJ$55"),14,FALSE)</f>
        <v>20100000</v>
      </c>
      <c r="AC46" s="79" t="s">
        <v>109</v>
      </c>
      <c r="AD46" s="79" t="e">
        <f ca="1">AF67+(((AF46-AG46)/(AF46-AE46))*(MIN(AG67,1.5*AF67)-AF67))</f>
        <v>#N/A</v>
      </c>
      <c r="AE46" s="79" t="e">
        <f ca="1">IF(C55&gt;C62,VLOOKUP(B53&amp;IF(Inputs!C40="CHS","","Flat")&amp;"Both"&amp;Inputs!G41,'Moment_Calculations (2)'!S43:Z63,6,0),VLOOKUP(B60&amp;IF(Inputs!C40="CHS","","Flat")&amp;"Both"&amp;Inputs!G41,'Moment_Calculations (2)'!S43:Z63,6,0))</f>
        <v>#N/A</v>
      </c>
      <c r="AF46" s="79" t="e">
        <f ca="1">IF(C55&gt;C62,VLOOKUP(B53&amp;IF(Inputs!C40="CHS","","Flat")&amp;"Both"&amp;Inputs!G41,'Moment_Calculations (2)'!S43:Z63,7,0),VLOOKUP(B60&amp;IF(Inputs!C40="CHS","","Flat")&amp;"Both"&amp;Inputs!G41,'Moment_Calculations (2)'!S43:Z63,7,0))</f>
        <v>#N/A</v>
      </c>
      <c r="AG46" s="79">
        <f ca="1">IF(C55&gt;C62,C52,C59)</f>
        <v>0.31246397361780409</v>
      </c>
    </row>
    <row r="47" spans="1:33">
      <c r="A47" s="14" t="s">
        <v>422</v>
      </c>
      <c r="B47" s="86">
        <f>VLOOKUP(1,$M$42:$Q$46,MATCH(Inputs!$J$5,$M$42:$Q$42,0),0)</f>
        <v>1</v>
      </c>
      <c r="C47" s="85"/>
      <c r="D47" s="85"/>
      <c r="E47" s="85"/>
      <c r="F47" s="85"/>
      <c r="G47" s="85"/>
      <c r="H47" s="85"/>
      <c r="I47" s="85"/>
      <c r="J47" s="85"/>
      <c r="K47" s="85"/>
      <c r="N47" s="14" t="s">
        <v>433</v>
      </c>
      <c r="S47" s="74" t="str">
        <f ca="1">VLOOKUP("   d        b       t", INDIRECT("'"&amp;Inputs!$C$4&amp;"'!"&amp;"$A$1:$AJ$55"),15,FALSE)</f>
        <v>Zy</v>
      </c>
      <c r="T47" s="74">
        <f ca="1">VLOOKUP(Inputs!$C$5, INDIRECT("'"&amp;Inputs!$C$4&amp;"'!"&amp;"$A$5:$AJ$55"),15,FALSE)</f>
        <v>193000</v>
      </c>
      <c r="AC47" s="79" t="s">
        <v>110</v>
      </c>
      <c r="AD47" s="79" t="e">
        <f ca="1">IF(X72="Uniform compression",AF67*(AF47/AG47),AF67*(AF47/AG47)^2)</f>
        <v>#N/A</v>
      </c>
      <c r="AE47" s="79" t="e">
        <f ca="1">IF(C55&gt;C62,VLOOKUP(B53&amp;IF(Inputs!C40="CHS","","Flat")&amp;"Both"&amp;Inputs!G41,'Moment_Calculations (2)'!S43:Z63,6,0),VLOOKUP(B60&amp;IF(Inputs!C40="CHS","","Flat")&amp;"Both"&amp;Inputs!G41,'Moment_Calculations (2)'!S43:Z63,6,0))</f>
        <v>#N/A</v>
      </c>
      <c r="AF47" s="79" t="e">
        <f ca="1">IF(C55&gt;C62,VLOOKUP(B53&amp;IF(Inputs!C40="CHS","","Flat")&amp;"Both"&amp;Inputs!G41,'Moment_Calculations (2)'!S43:Z63,7,0),VLOOKUP(B60&amp;IF(Inputs!C40="CHS","","Flat")&amp;"Both"&amp;Inputs!G41,'Moment_Calculations (2)'!S43:Z63,7,0))</f>
        <v>#N/A</v>
      </c>
      <c r="AG47" s="79">
        <f ca="1">IF(C55&gt;C62,C52,C59)</f>
        <v>0.31246397361780409</v>
      </c>
    </row>
    <row r="48" spans="1:33">
      <c r="A48" s="14" t="s">
        <v>433</v>
      </c>
      <c r="B48" s="86">
        <f>VLOOKUP(1,M49:P52,4,0)</f>
        <v>1</v>
      </c>
      <c r="C48" s="85"/>
      <c r="D48" s="85"/>
      <c r="E48" s="85"/>
      <c r="F48" s="85"/>
      <c r="G48" s="85"/>
      <c r="H48" s="85"/>
      <c r="I48" s="85"/>
      <c r="J48" s="85"/>
      <c r="K48" s="85"/>
      <c r="N48" s="14" t="s">
        <v>431</v>
      </c>
      <c r="O48" s="74" t="s">
        <v>435</v>
      </c>
      <c r="S48" s="74" t="str">
        <f ca="1">VLOOKUP("   d        b       t", INDIRECT("'"&amp;Inputs!$C$4&amp;"'!"&amp;"$A$1:$AJ$55"),16,FALSE)</f>
        <v>Sy</v>
      </c>
      <c r="T48" s="74">
        <f ca="1">VLOOKUP(Inputs!$C$5, INDIRECT("'"&amp;Inputs!$C$4&amp;"'!"&amp;"$A$5:$AJ$55"),16,FALSE)</f>
        <v>301000</v>
      </c>
    </row>
    <row r="49" spans="1:20">
      <c r="A49" s="14" t="s">
        <v>375</v>
      </c>
      <c r="B49" s="93">
        <f ca="1">'Moment_Calculations (2)'!B43*'Moment_Calculations (2)'!B47*'Moment_Calculations (2)'!B48*Inputs!C13</f>
        <v>10</v>
      </c>
      <c r="C49" s="87"/>
      <c r="D49" s="85"/>
      <c r="E49" s="85"/>
      <c r="F49" s="85"/>
      <c r="G49" s="85"/>
      <c r="H49" s="85"/>
      <c r="I49" s="85"/>
      <c r="J49" s="85"/>
      <c r="K49" s="85"/>
      <c r="M49" s="74">
        <f>IF(AND(ISNUMBER(SEARCH(Inputs!$G$8,N49)),ISNUMBER(SEARCH(Inputs!$J$3,O49))),1,0)</f>
        <v>0</v>
      </c>
      <c r="N49" s="14" t="s">
        <v>429</v>
      </c>
      <c r="O49" s="74" t="s">
        <v>436</v>
      </c>
      <c r="P49" s="74">
        <v>1</v>
      </c>
      <c r="S49" s="74" t="str">
        <f ca="1">VLOOKUP("   d        b       t", INDIRECT("'"&amp;Inputs!$C$4&amp;"'!"&amp;"$A$1:$AJ$55"),17,FALSE)</f>
        <v>ry</v>
      </c>
      <c r="T49" s="74">
        <f ca="1">VLOOKUP(Inputs!$C$5, INDIRECT("'"&amp;Inputs!$C$4&amp;"'!"&amp;"$A$5:$AJ$55"),17,FALSE)</f>
        <v>43.8</v>
      </c>
    </row>
    <row r="50" spans="1:20">
      <c r="A50" s="14" t="s">
        <v>374</v>
      </c>
      <c r="B50" s="87">
        <f ca="1">SQRT(((PI()^2*200*10^9*T44*10^-12)/(B49^2))*(80*10^9*T49*10^-12 + (PI()^2*200*10^9*T50*10^-18)/(B49^2)))/1000</f>
        <v>0.37894360040336528</v>
      </c>
      <c r="C50" s="85"/>
      <c r="D50" s="85"/>
      <c r="E50" s="85"/>
      <c r="F50" s="85"/>
      <c r="G50" s="85"/>
      <c r="H50" s="85"/>
      <c r="I50" s="85"/>
      <c r="J50" s="85"/>
      <c r="K50" s="85"/>
      <c r="M50" s="74">
        <f>IF(AND(ISNUMBER(SEARCH(Inputs!$G$8,N50)),ISNUMBER(SEARCH(Inputs!$J$3,O50))),1,0)</f>
        <v>1</v>
      </c>
      <c r="N50" s="14" t="s">
        <v>428</v>
      </c>
      <c r="O50" s="74" t="s">
        <v>437</v>
      </c>
      <c r="P50" s="74">
        <v>1</v>
      </c>
      <c r="S50" s="74" t="str">
        <f ca="1">VLOOKUP("   d        b       t", INDIRECT("'"&amp;Inputs!$C$4&amp;"'!"&amp;"$A$1:$AJ$55"),18,FALSE)</f>
        <v>J</v>
      </c>
      <c r="T50" s="74">
        <f ca="1">VLOOKUP(Inputs!$C$5, INDIRECT("'"&amp;Inputs!$C$4&amp;"'!"&amp;"$A$5:$AJ$55"),18,FALSE)</f>
        <v>526000</v>
      </c>
    </row>
    <row r="51" spans="1:20">
      <c r="A51" s="92" t="s">
        <v>373</v>
      </c>
      <c r="B51" s="93" t="e">
        <f ca="1">0.6*(SQRT((B38/(B50*0.9))^2+3)-(B38/(B50*0.9)))</f>
        <v>#DIV/0!</v>
      </c>
      <c r="C51" s="85"/>
      <c r="D51" s="85"/>
      <c r="E51" s="85"/>
      <c r="F51" s="85"/>
      <c r="G51" s="85"/>
      <c r="H51" s="85"/>
      <c r="I51" s="85"/>
      <c r="J51" s="85"/>
      <c r="K51" s="85"/>
      <c r="M51" s="74">
        <f>IF(AND(ISNUMBER(SEARCH(Inputs!$G$8,N51)),ISNUMBER(SEARCH(Inputs!$J$3,O51))),1,0)</f>
        <v>1</v>
      </c>
      <c r="N51" s="14" t="s">
        <v>434</v>
      </c>
      <c r="O51" s="74" t="s">
        <v>83</v>
      </c>
      <c r="P51" s="74">
        <v>0.85</v>
      </c>
      <c r="S51" s="74" t="str">
        <f ca="1">VLOOKUP("   d        b       t", INDIRECT("'"&amp;Inputs!$C$4&amp;"'!"&amp;"$A$1:$AJ$55"),19,FALSE)</f>
        <v>Iw</v>
      </c>
      <c r="T51" s="74">
        <f ca="1">VLOOKUP(Inputs!$C$5, INDIRECT("'"&amp;Inputs!$C$4&amp;"'!"&amp;"$A$5:$AJ$55"),19,FALSE)</f>
        <v>1330000000000</v>
      </c>
    </row>
    <row r="52" spans="1:20">
      <c r="A52" s="92" t="s">
        <v>372</v>
      </c>
      <c r="B52" s="90">
        <f>Inputs!G11</f>
        <v>1</v>
      </c>
      <c r="C52" s="85"/>
      <c r="D52" s="85"/>
      <c r="E52" s="85"/>
      <c r="F52" s="85"/>
      <c r="G52" s="85"/>
      <c r="H52" s="85"/>
      <c r="I52" s="85"/>
      <c r="J52" s="85"/>
      <c r="K52" s="85"/>
      <c r="M52" s="74">
        <f>IF(AND(ISNUMBER(SEARCH(Inputs!$G$8,N52)),ISNUMBER(SEARCH(Inputs!$J$3,O52))),1,0)</f>
        <v>0</v>
      </c>
      <c r="N52" s="14" t="s">
        <v>434</v>
      </c>
      <c r="O52" s="74" t="s">
        <v>89</v>
      </c>
      <c r="P52" s="74">
        <v>0.7</v>
      </c>
      <c r="S52" s="74" t="str">
        <f ca="1">VLOOKUP("   d        b       t", INDIRECT("'"&amp;Inputs!$C$4&amp;"'!"&amp;"$A$1:$AJ$55"),20,FALSE)</f>
        <v>(PhiMsx)</v>
      </c>
      <c r="T52" s="74">
        <f ca="1">VLOOKUP(Inputs!$C$5, INDIRECT("'"&amp;Inputs!$C$4&amp;"'!"&amp;"$A$5:$AJ$55"),20,FALSE)</f>
        <v>0</v>
      </c>
    </row>
    <row r="53" spans="1:20">
      <c r="A53" s="74" t="s">
        <v>382</v>
      </c>
      <c r="B53" s="93" t="e">
        <f ca="1">B52*B51*B38</f>
        <v>#DIV/0!</v>
      </c>
      <c r="C53" s="88"/>
      <c r="D53" s="85"/>
      <c r="E53" s="85"/>
      <c r="F53" s="85"/>
      <c r="G53" s="85"/>
      <c r="H53" s="85"/>
      <c r="I53" s="85"/>
      <c r="J53" s="85"/>
      <c r="K53" s="85"/>
      <c r="S53" s="74" t="str">
        <f ca="1">VLOOKUP("   d        b       t", INDIRECT("'"&amp;Inputs!$C$4&amp;"'!"&amp;"$A$1:$AJ$55"),21,FALSE)</f>
        <v>(PhiMsy)</v>
      </c>
      <c r="T53" s="74">
        <f ca="1">VLOOKUP(Inputs!$C$5, INDIRECT("'"&amp;Inputs!$C$4&amp;"'!"&amp;"$A$5:$AJ$55"),21,FALSE)</f>
        <v>0</v>
      </c>
    </row>
    <row r="54" spans="1:20">
      <c r="B54" s="86"/>
      <c r="C54" s="85"/>
      <c r="D54" s="85"/>
      <c r="E54" s="85"/>
      <c r="F54" s="85"/>
      <c r="G54" s="85"/>
      <c r="H54" s="85"/>
      <c r="I54" s="85"/>
      <c r="J54" s="85"/>
      <c r="K54" s="85"/>
      <c r="S54" s="74" t="str">
        <f ca="1">VLOOKUP("   d        b       t", INDIRECT("'"&amp;Inputs!$C$4&amp;"'!"&amp;"$A$1:$AJ$55"),22,FALSE)</f>
        <v>d1</v>
      </c>
      <c r="T54" s="74">
        <f ca="1">VLOOKUP(Inputs!$C$5, INDIRECT("'"&amp;Inputs!$C$4&amp;"'!"&amp;"$A$5:$AJ$55"),22,FALSE)</f>
        <v>501.6</v>
      </c>
    </row>
    <row r="55" spans="1:20">
      <c r="A55" s="74" t="s">
        <v>391</v>
      </c>
      <c r="F55" s="85"/>
      <c r="G55" s="85"/>
      <c r="H55" s="85"/>
      <c r="I55" s="85"/>
      <c r="J55" s="85"/>
      <c r="K55" s="85"/>
      <c r="S55" s="74" t="str">
        <f ca="1">VLOOKUP("   d        b       t", INDIRECT("'"&amp;Inputs!$C$4&amp;"'!"&amp;"$A$1:$AJ$55"),23,FALSE)</f>
        <v>(bf-tw)/2</v>
      </c>
      <c r="T55" s="74">
        <f ca="1">VLOOKUP(Inputs!$C$5, INDIRECT("'"&amp;Inputs!$C$4&amp;"'!"&amp;"$A$5:$AJ$55"),23,FALSE)</f>
        <v>99.7</v>
      </c>
    </row>
    <row r="56" spans="1:20">
      <c r="A56" s="74" t="s">
        <v>106</v>
      </c>
      <c r="B56" s="84"/>
      <c r="C56" s="85" t="s">
        <v>11</v>
      </c>
      <c r="D56" s="85"/>
      <c r="E56" s="85"/>
      <c r="F56" s="85"/>
      <c r="G56" s="85"/>
      <c r="H56" s="85"/>
      <c r="I56" s="85"/>
      <c r="J56" s="85"/>
      <c r="K56" s="85"/>
      <c r="S56" s="74" t="str">
        <f ca="1">VLOOKUP("   d        b       t", INDIRECT("'"&amp;Inputs!$C$4&amp;"'!"&amp;"$A$1:$AJ$55"),24,FALSE)</f>
        <v>nw</v>
      </c>
      <c r="T56" s="74">
        <f ca="1">VLOOKUP(Inputs!$C$5, INDIRECT("'"&amp;Inputs!$C$4&amp;"'!"&amp;"$A$5:$AJ$55"),24,FALSE)</f>
        <v>1</v>
      </c>
    </row>
    <row r="57" spans="1:20">
      <c r="A57" s="10" t="s">
        <v>96</v>
      </c>
      <c r="B57" s="87">
        <f ca="1">T51/T37*SQRT(T56/250)</f>
        <v>8762144350.0498848</v>
      </c>
      <c r="C57" s="87">
        <f ca="1">T35/2/T36*SQRT(T55/250)</f>
        <v>4.9994235778848655</v>
      </c>
      <c r="D57" s="85"/>
      <c r="E57" s="85"/>
      <c r="F57" s="85"/>
      <c r="G57" s="85"/>
      <c r="H57" s="85"/>
      <c r="I57" s="85"/>
      <c r="J57" s="85"/>
      <c r="K57" s="85"/>
      <c r="S57" s="74" t="str">
        <f ca="1">VLOOKUP("   d        b       t", INDIRECT("'"&amp;Inputs!$C$4&amp;"'!"&amp;"$A$1:$AJ$55"),25,FALSE)</f>
        <v>fyw</v>
      </c>
      <c r="T57" s="74">
        <f ca="1">VLOOKUP(Inputs!$C$5, INDIRECT("'"&amp;Inputs!$C$4&amp;"'!"&amp;"$A$5:$AJ$55"),25,FALSE)</f>
        <v>320</v>
      </c>
    </row>
    <row r="58" spans="1:20">
      <c r="A58" s="10" t="s">
        <v>97</v>
      </c>
      <c r="B58" s="85">
        <f>VLOOKUP("CTBoth"&amp;Inputs!G5,'Moment_Calculations (2)'!S2:Z27,7,0)</f>
        <v>115</v>
      </c>
      <c r="C58" s="85">
        <f>VLOOKUP("UCOne"&amp;Inputs!G5,'Moment_Calculations (2)'!S2:Z27,7,0)</f>
        <v>16</v>
      </c>
      <c r="D58" s="85"/>
      <c r="E58" s="91" t="s">
        <v>438</v>
      </c>
      <c r="F58" s="85"/>
      <c r="G58" s="85"/>
      <c r="H58" s="85"/>
      <c r="I58" s="85"/>
      <c r="J58" s="85"/>
      <c r="K58" s="85"/>
      <c r="S58" s="74" t="str">
        <f ca="1">VLOOKUP("   d        b       t", INDIRECT("'"&amp;Inputs!$C$4&amp;"'!"&amp;"$A$1:$AJ$55"),26,FALSE)</f>
        <v>fyf</v>
      </c>
      <c r="T58" s="74">
        <f ca="1">VLOOKUP(Inputs!$C$5, INDIRECT("'"&amp;Inputs!$C$4&amp;"'!"&amp;"$A$5:$AJ$55"),26,FALSE)</f>
        <v>300</v>
      </c>
    </row>
    <row r="59" spans="1:20">
      <c r="A59" s="10" t="s">
        <v>101</v>
      </c>
      <c r="B59" s="88">
        <f ca="1">B57/B58</f>
        <v>76192559.565651178</v>
      </c>
      <c r="C59" s="88">
        <f ca="1">C57/C58</f>
        <v>0.31246397361780409</v>
      </c>
      <c r="D59" s="85"/>
      <c r="E59" s="85"/>
      <c r="F59" s="85"/>
      <c r="G59" s="85"/>
      <c r="H59" s="85"/>
      <c r="I59" s="85"/>
      <c r="J59" s="85"/>
      <c r="K59" s="85"/>
      <c r="S59" s="74" t="str">
        <f ca="1">VLOOKUP("   d        b       t", INDIRECT("'"&amp;Inputs!$C$4&amp;"'!"&amp;"$A$1:$AJ$55"),27,FALSE)</f>
        <v>kf</v>
      </c>
      <c r="T59" s="74">
        <f ca="1">VLOOKUP(Inputs!$C$5, INDIRECT("'"&amp;Inputs!$C$4&amp;"'!"&amp;"$A$5:$AJ$55"),27,FALSE)</f>
        <v>0.90200000000000002</v>
      </c>
    </row>
    <row r="60" spans="1:20">
      <c r="A60" s="74" t="s">
        <v>111</v>
      </c>
      <c r="B60" s="85">
        <f>VLOOKUP("CTBoth"&amp;Inputs!G5,'Moment_Calculations (2)'!S2:Z27,6,0)</f>
        <v>82</v>
      </c>
      <c r="C60" s="85">
        <f>VLOOKUP("UCOne"&amp;Inputs!G5,'Moment_Calculations (2)'!S2:Z27,6,0)</f>
        <v>10</v>
      </c>
      <c r="D60" s="85"/>
      <c r="E60" s="91" t="s">
        <v>439</v>
      </c>
      <c r="F60" s="85"/>
      <c r="G60" s="85"/>
      <c r="H60" s="85"/>
      <c r="I60" s="85"/>
      <c r="J60" s="85"/>
      <c r="K60" s="85"/>
      <c r="S60" s="74" t="str">
        <f ca="1">VLOOKUP("   d        b       t", INDIRECT("'"&amp;Inputs!$C$4&amp;"'!"&amp;"$A$1:$AJ$55"),28,FALSE)</f>
        <v>kf override</v>
      </c>
      <c r="T60" s="74">
        <f ca="1">VLOOKUP(Inputs!$C$5, INDIRECT("'"&amp;Inputs!$C$4&amp;"'!"&amp;"$A$5:$AJ$55"),28,FALSE)</f>
        <v>0.90200000000000002</v>
      </c>
    </row>
    <row r="61" spans="1:20">
      <c r="A61" s="74" t="s">
        <v>417</v>
      </c>
      <c r="B61" s="74">
        <f ca="1">IF(B59&gt;C59,1,0)</f>
        <v>1</v>
      </c>
      <c r="C61" s="74">
        <f ca="1">IF(B59&lt;C59,1,0)</f>
        <v>0</v>
      </c>
      <c r="D61" s="85"/>
      <c r="E61" s="85"/>
      <c r="F61" s="85"/>
      <c r="G61" s="85"/>
      <c r="H61" s="85"/>
      <c r="I61" s="85"/>
      <c r="J61" s="85"/>
      <c r="K61" s="85"/>
      <c r="S61" s="74" t="str">
        <f ca="1">VLOOKUP("   d        b       t", INDIRECT("'"&amp;Inputs!$C$4&amp;"'!"&amp;"$A$1:$AJ$55"),29,FALSE)</f>
        <v>λey (web)</v>
      </c>
      <c r="T61" s="74">
        <f ca="1">VLOOKUP(Inputs!$C$5, INDIRECT("'"&amp;Inputs!$C$4&amp;"'!"&amp;"$A$5:$AJ$55"),29,FALSE)</f>
        <v>45</v>
      </c>
    </row>
    <row r="62" spans="1:20">
      <c r="A62" s="74" t="s">
        <v>108</v>
      </c>
      <c r="B62" s="85">
        <f ca="1">IF(B57&lt;B60,1,0)</f>
        <v>0</v>
      </c>
      <c r="C62" s="85">
        <f ca="1">IF(C57&lt;C60,1,0)</f>
        <v>1</v>
      </c>
      <c r="D62" s="85"/>
      <c r="E62" s="85"/>
      <c r="F62" s="85"/>
      <c r="G62" s="85"/>
      <c r="H62" s="85"/>
      <c r="I62" s="85"/>
      <c r="J62" s="85"/>
      <c r="K62" s="85"/>
      <c r="S62" s="74" t="str">
        <f ca="1">VLOOKUP("   d        b       t", INDIRECT("'"&amp;Inputs!$C$4&amp;"'!"&amp;"$A$1:$AJ$55"),30,FALSE)</f>
        <v>λey (flange)</v>
      </c>
      <c r="T62" s="74">
        <f ca="1">VLOOKUP(Inputs!$C$5, INDIRECT("'"&amp;Inputs!$C$4&amp;"'!"&amp;"$A$5:$AJ$55"),30,FALSE)</f>
        <v>16</v>
      </c>
    </row>
    <row r="63" spans="1:20">
      <c r="A63" s="74" t="s">
        <v>415</v>
      </c>
      <c r="B63" s="85">
        <f ca="1">IF(AND(B57&gt;B60,B57&lt;B58),1,0)</f>
        <v>0</v>
      </c>
      <c r="C63" s="85">
        <f ca="1">IF(AND(C57&gt;C60,C57&lt;C58),1,0)</f>
        <v>0</v>
      </c>
      <c r="D63" s="85"/>
      <c r="E63" s="85"/>
      <c r="F63" s="85"/>
      <c r="G63" s="85"/>
      <c r="H63" s="85"/>
      <c r="I63" s="85"/>
      <c r="J63" s="85"/>
      <c r="K63" s="85"/>
      <c r="S63" s="74" t="str">
        <f ca="1">VLOOKUP("   d        b       t", INDIRECT("'"&amp;Inputs!$C$4&amp;"'!"&amp;"$A$1:$AJ$55"),31,FALSE)</f>
        <v>λe (web)</v>
      </c>
      <c r="T63" s="74">
        <f ca="1">VLOOKUP(Inputs!$C$5, INDIRECT("'"&amp;Inputs!$C$4&amp;"'!"&amp;"$A$5:$AJ$55"),31,FALSE)</f>
        <v>59.114126907195377</v>
      </c>
    </row>
    <row r="64" spans="1:20">
      <c r="A64" s="74" t="s">
        <v>416</v>
      </c>
      <c r="B64" s="85">
        <f ca="1">IF(B57&gt;B58,1,0)</f>
        <v>1</v>
      </c>
      <c r="C64" s="85">
        <f ca="1">IF(C57&gt;C58,1,0)</f>
        <v>0</v>
      </c>
      <c r="D64" s="85"/>
      <c r="E64" s="85"/>
      <c r="F64" s="85"/>
      <c r="G64" s="85"/>
      <c r="H64" s="85"/>
      <c r="I64" s="85"/>
      <c r="J64" s="85"/>
      <c r="K64" s="85"/>
      <c r="S64" s="74" t="str">
        <f ca="1">VLOOKUP("   d        b       t", INDIRECT("'"&amp;Inputs!$C$4&amp;"'!"&amp;"$A$1:$AJ$55"),32,FALSE)</f>
        <v>λe (flange)</v>
      </c>
      <c r="T64" s="74">
        <f ca="1">VLOOKUP(Inputs!$C$5, INDIRECT("'"&amp;Inputs!$C$4&amp;"'!"&amp;"$A$5:$AJ$55"),32,FALSE)</f>
        <v>8.273930148979554</v>
      </c>
    </row>
    <row r="65" spans="1:20">
      <c r="A65" s="74" t="s">
        <v>381</v>
      </c>
      <c r="B65" s="78">
        <f ca="1">MAX(B66:C68)</f>
        <v>1.7799164700322234E-12</v>
      </c>
      <c r="D65" s="85"/>
      <c r="E65" s="85"/>
      <c r="F65" s="85"/>
      <c r="G65" s="85"/>
      <c r="H65" s="85"/>
      <c r="I65" s="85"/>
      <c r="J65" s="85"/>
      <c r="K65" s="85"/>
      <c r="S65" s="74" t="str">
        <f ca="1">VLOOKUP("   d        b       t", INDIRECT("'"&amp;Inputs!$C$4&amp;"'!"&amp;"$A$1:$AJ$55"),33,FALSE)</f>
        <v>be (web)</v>
      </c>
      <c r="T65" s="74">
        <f ca="1">VLOOKUP(Inputs!$C$5, INDIRECT("'"&amp;Inputs!$C$4&amp;"'!"&amp;"$A$5:$AJ$55"),33,FALSE)</f>
        <v>381.83766184073568</v>
      </c>
    </row>
    <row r="66" spans="1:20">
      <c r="A66" s="74" t="s">
        <v>108</v>
      </c>
      <c r="B66" s="87">
        <f ca="1">0.9*B61*B62*MIN(1.5*T41,T42)*MIN(T55,T56)/1000000</f>
        <v>0</v>
      </c>
      <c r="C66" s="85">
        <f ca="1">0.9*C61*C62*MIN(1.5*T41,T42)*MIN(T56,T55)/1000000</f>
        <v>0</v>
      </c>
      <c r="D66" s="87"/>
      <c r="E66" s="85"/>
      <c r="F66" s="85"/>
      <c r="G66" s="85"/>
      <c r="H66" s="85"/>
      <c r="I66" s="85"/>
      <c r="J66" s="85"/>
      <c r="K66" s="85"/>
      <c r="S66" s="74" t="str">
        <f ca="1">VLOOKUP("   d        b       t", INDIRECT("'"&amp;Inputs!$C$4&amp;"'!"&amp;"$A$1:$AJ$55"),34,FALSE)</f>
        <v>be (flange)</v>
      </c>
      <c r="T66" s="74">
        <f ca="1">VLOOKUP(Inputs!$C$5, INDIRECT("'"&amp;Inputs!$C$4&amp;"'!"&amp;"$A$5:$AJ$55"),34,FALSE)</f>
        <v>99.7</v>
      </c>
    </row>
    <row r="67" spans="1:20">
      <c r="A67" s="74" t="s">
        <v>415</v>
      </c>
      <c r="B67" s="85">
        <f ca="1">B61*B63*(T41+(((B58-B57)/(B58-B60))*(MIN(1.5*T41,T42)-T41)))</f>
        <v>0</v>
      </c>
      <c r="C67" s="85">
        <f ca="1">C61*C63*(T41+(((C58-C57)/(C58-C60))*(MIN(1.5*T41,T42)-T41)))</f>
        <v>0</v>
      </c>
      <c r="D67" s="87"/>
      <c r="E67" s="85"/>
      <c r="F67" s="85"/>
      <c r="G67" s="85"/>
      <c r="H67" s="85"/>
      <c r="I67" s="85"/>
      <c r="J67" s="85"/>
      <c r="K67" s="85"/>
      <c r="S67" s="74" t="str">
        <f ca="1">VLOOKUP("   d        b       t", INDIRECT("'"&amp;Inputs!$C$4&amp;"'!"&amp;"$A$1:$AJ$55"),35,FALSE)</f>
        <v>Ae</v>
      </c>
      <c r="T67" s="74">
        <f ca="1">VLOOKUP(Inputs!$C$5, INDIRECT("'"&amp;Inputs!$C$4&amp;"'!"&amp;"$A$5:$AJ$55"),35,FALSE)</f>
        <v>9183.2415536710632</v>
      </c>
    </row>
    <row r="68" spans="1:20">
      <c r="A68" s="74" t="s">
        <v>416</v>
      </c>
      <c r="B68" s="86">
        <f ca="1">B61*B64*T41*(B58/B57)^2</f>
        <v>1.7799164700322234E-12</v>
      </c>
      <c r="C68" s="89">
        <f ca="1">C61*C64*T41*(C58/C57)</f>
        <v>0</v>
      </c>
      <c r="D68" s="87"/>
      <c r="E68" s="85"/>
      <c r="F68" s="85"/>
      <c r="G68" s="85"/>
      <c r="H68" s="85"/>
      <c r="I68" s="85"/>
      <c r="J68" s="85"/>
      <c r="K68" s="85"/>
      <c r="S68" s="74" t="str">
        <f ca="1">VLOOKUP("   d        b       t", INDIRECT("'"&amp;Inputs!$C$4&amp;"'!"&amp;"$A$1:$AJ$55"),36,FALSE)</f>
        <v>Root Radius Area</v>
      </c>
      <c r="T68" s="74">
        <f ca="1">VLOOKUP(Inputs!$C$5, INDIRECT("'"&amp;Inputs!$C$4&amp;"'!"&amp;"$A$5:$AJ$55"),36,FALSE)</f>
        <v>0</v>
      </c>
    </row>
    <row r="69" spans="1:20">
      <c r="A69" s="10" t="s">
        <v>372</v>
      </c>
      <c r="B69" s="90">
        <f>Inputs!G11</f>
        <v>1</v>
      </c>
      <c r="C69" s="88"/>
      <c r="D69" s="85"/>
      <c r="E69" s="85"/>
      <c r="F69" s="85"/>
      <c r="G69" s="85"/>
      <c r="H69" s="85"/>
      <c r="I69" s="85"/>
      <c r="J69" s="85"/>
      <c r="K69" s="85"/>
      <c r="S69" s="74">
        <f ca="1">VLOOKUP("   d        b       t", INDIRECT("'"&amp;Inputs!$C$4&amp;"'!"&amp;"$A$1:$BJ$55"),37,FALSE)</f>
        <v>0</v>
      </c>
      <c r="T69" s="74">
        <f ca="1">VLOOKUP(Inputs!$C$5, INDIRECT("'"&amp;Inputs!$C$4&amp;"'!"&amp;"$A$5:$BJ$55"),37,FALSE)</f>
        <v>0</v>
      </c>
    </row>
    <row r="70" spans="1:20">
      <c r="A70" s="10" t="s">
        <v>421</v>
      </c>
      <c r="B70" s="90">
        <f ca="1">VLOOKUP(TRUE,$B$71:$C$73,2,0)</f>
        <v>43218506.859375</v>
      </c>
      <c r="C70" s="85"/>
      <c r="D70" s="85"/>
      <c r="E70" s="85"/>
      <c r="F70" s="85"/>
      <c r="G70" s="85"/>
      <c r="H70" s="85"/>
      <c r="I70" s="85"/>
      <c r="J70" s="85"/>
      <c r="K70" s="85"/>
      <c r="S70" s="74">
        <f ca="1">VLOOKUP("   d        b       t", INDIRECT("'"&amp;Inputs!$C$4&amp;"'!"&amp;"$A$1:$BJ$55"),38,FALSE)</f>
        <v>0</v>
      </c>
      <c r="T70" s="74">
        <f ca="1">VLOOKUP(Inputs!$C$5, INDIRECT("'"&amp;Inputs!$C$4&amp;"'!"&amp;"$A$5:$BJ$55"),38,FALSE)</f>
        <v>0</v>
      </c>
    </row>
    <row r="71" spans="1:20">
      <c r="A71" s="14" t="s">
        <v>418</v>
      </c>
      <c r="B71" s="87" t="b">
        <f>ISNUMBER(SEARCH(Inputs!$G$8,'Moment_Calculations (2)'!$A$44))</f>
        <v>0</v>
      </c>
      <c r="C71" s="86">
        <v>1</v>
      </c>
      <c r="E71" s="85"/>
      <c r="F71" s="85"/>
      <c r="G71" s="85"/>
      <c r="H71" s="85"/>
      <c r="I71" s="85"/>
      <c r="J71" s="85"/>
      <c r="K71" s="85"/>
      <c r="S71" s="74">
        <f ca="1">VLOOKUP("   d        b       t", INDIRECT("'"&amp;Inputs!$C$4&amp;"'!"&amp;"$A$1:$BJ$55"),39,FALSE)</f>
        <v>0</v>
      </c>
      <c r="T71" s="74">
        <f ca="1">VLOOKUP(Inputs!$C$5, INDIRECT("'"&amp;Inputs!$C$4&amp;"'!"&amp;"$A$5:$BJ$55"),39,FALSE)</f>
        <v>0</v>
      </c>
    </row>
    <row r="72" spans="1:20">
      <c r="A72" s="14" t="s">
        <v>419</v>
      </c>
      <c r="B72" s="85" t="b">
        <f>ISNUMBER(SEARCH(Inputs!$G$8,'Moment_Calculations (2)'!$A$45))</f>
        <v>1</v>
      </c>
      <c r="C72" s="90">
        <f ca="1">1+((T51/Inputs!C13/1000)*('Moment_Calculations (2)'!T36/(2*'Moment_Calculations (2)'!T37))^3)/1</f>
        <v>43218506.859375</v>
      </c>
      <c r="E72" s="85"/>
      <c r="F72" s="85"/>
      <c r="G72" s="85"/>
      <c r="H72" s="85"/>
      <c r="I72" s="85"/>
      <c r="J72" s="85"/>
      <c r="K72" s="85"/>
      <c r="S72" s="74">
        <f ca="1">VLOOKUP("   d        b       t", INDIRECT("'"&amp;Inputs!$C$4&amp;"'!"&amp;"$A$1:$BJ$55"),40,FALSE)</f>
        <v>0</v>
      </c>
      <c r="T72" s="74">
        <f ca="1">VLOOKUP(Inputs!$C$5, INDIRECT("'"&amp;Inputs!$C$4&amp;"'!"&amp;"$A$5:$BJ$55"),40,FALSE)</f>
        <v>0</v>
      </c>
    </row>
    <row r="73" spans="1:20">
      <c r="A73" s="14" t="s">
        <v>420</v>
      </c>
      <c r="B73" s="85" t="b">
        <f>ISNUMBER(SEARCH(Inputs!$G$8,'Moment_Calculations (2)'!$A$46))</f>
        <v>0</v>
      </c>
      <c r="C73" s="90">
        <f ca="1">1+(2*(T51/Inputs!C13/1000)*('Moment_Calculations (2)'!T36/(2*'Moment_Calculations (2)'!T37))^3)/1</f>
        <v>86437012.71875</v>
      </c>
      <c r="E73" s="85"/>
      <c r="F73" s="85"/>
      <c r="G73" s="85"/>
      <c r="H73" s="85"/>
      <c r="I73" s="85"/>
      <c r="J73" s="85"/>
      <c r="K73" s="85"/>
      <c r="S73" s="74">
        <f ca="1">VLOOKUP("   d        b       t", INDIRECT("'"&amp;Inputs!$C$4&amp;"'!"&amp;"$A$1:$BJ$55"),41,FALSE)</f>
        <v>0</v>
      </c>
      <c r="T73" s="74">
        <f ca="1">VLOOKUP(Inputs!$C$5, INDIRECT("'"&amp;Inputs!$C$4&amp;"'!"&amp;"$A$5:$BJ$55"),41,FALSE)</f>
        <v>0</v>
      </c>
    </row>
    <row r="74" spans="1:20">
      <c r="A74" s="14" t="s">
        <v>422</v>
      </c>
      <c r="B74" s="86">
        <f>VLOOKUP(1,$M$42:$Q$46,MATCH(Inputs!$J$5,$M$42:$Q$42,0),0)</f>
        <v>1</v>
      </c>
      <c r="C74" s="85"/>
      <c r="D74" s="85"/>
      <c r="E74" s="85"/>
      <c r="F74" s="85"/>
      <c r="G74" s="85"/>
      <c r="H74" s="85"/>
      <c r="I74" s="85"/>
      <c r="J74" s="85"/>
      <c r="K74" s="85"/>
      <c r="S74" s="74">
        <f ca="1">VLOOKUP("   d        b       t", INDIRECT("'"&amp;Inputs!$C$4&amp;"'!"&amp;"$A$1:$BJ$55"),42,FALSE)</f>
        <v>0</v>
      </c>
      <c r="T74" s="74">
        <f ca="1">VLOOKUP(Inputs!$C$5, INDIRECT("'"&amp;Inputs!$C$4&amp;"'!"&amp;"$A$5:$BJ$55"),42,FALSE)</f>
        <v>0</v>
      </c>
    </row>
    <row r="75" spans="1:20">
      <c r="A75" s="14" t="s">
        <v>433</v>
      </c>
      <c r="B75" s="86">
        <f>VLOOKUP(1,M49:P52,4,0)</f>
        <v>1</v>
      </c>
      <c r="C75" s="85"/>
      <c r="D75" s="85"/>
      <c r="E75" s="85"/>
      <c r="F75" s="85"/>
      <c r="G75" s="85"/>
      <c r="H75" s="85"/>
      <c r="I75" s="85"/>
      <c r="J75" s="85"/>
      <c r="K75" s="85"/>
      <c r="S75" s="74">
        <f ca="1">VLOOKUP("   d        b       t", INDIRECT("'"&amp;Inputs!$C$4&amp;"'!"&amp;"$A$1:$BJ$55"),43,FALSE)</f>
        <v>0</v>
      </c>
      <c r="T75" s="74">
        <f ca="1">VLOOKUP(Inputs!$C$5, INDIRECT("'"&amp;Inputs!$C$4&amp;"'!"&amp;"$A$5:$BJ$55"),43,FALSE)</f>
        <v>0</v>
      </c>
    </row>
    <row r="76" spans="1:20">
      <c r="A76" s="14" t="s">
        <v>375</v>
      </c>
      <c r="B76" s="90">
        <f ca="1">'Moment_Calculations (2)'!B70*'Moment_Calculations (2)'!B74*'Moment_Calculations (2)'!B75*Inputs!C13</f>
        <v>432185068.59375</v>
      </c>
      <c r="C76" s="87"/>
      <c r="D76" s="85"/>
      <c r="E76" s="85"/>
      <c r="F76" s="85"/>
      <c r="G76" s="85"/>
      <c r="H76" s="85"/>
      <c r="I76" s="85"/>
      <c r="J76" s="85"/>
      <c r="K76" s="85"/>
      <c r="S76" s="74">
        <f ca="1">VLOOKUP("   d        b       t", INDIRECT("'"&amp;Inputs!$C$4&amp;"'!"&amp;"$A$1:$BJ$55"),44,FALSE)</f>
        <v>0</v>
      </c>
      <c r="T76" s="74">
        <f ca="1">VLOOKUP(Inputs!$C$5, INDIRECT("'"&amp;Inputs!$C$4&amp;"'!"&amp;"$A$5:$BJ$55"),44,FALSE)</f>
        <v>0</v>
      </c>
    </row>
    <row r="77" spans="1:20">
      <c r="A77" s="14" t="s">
        <v>374</v>
      </c>
      <c r="B77" s="87">
        <f ca="1">SQRT(((PI()^2*200*10^9*T44*10^-12)/(B76^2))*(80*10^9*T48*10^-12 + (PI()^2*200*10^9*T49*10^-18)/(B76^2)))/1000</f>
        <v>7.257858986818163E-7</v>
      </c>
      <c r="C77" s="85"/>
      <c r="D77" s="85"/>
      <c r="E77" s="85"/>
      <c r="F77" s="85"/>
      <c r="G77" s="85"/>
      <c r="H77" s="85"/>
      <c r="I77" s="85"/>
      <c r="J77" s="85"/>
      <c r="K77" s="85"/>
      <c r="S77" s="74">
        <f ca="1">VLOOKUP("   d        b       t", INDIRECT("'"&amp;Inputs!$C$4&amp;"'!"&amp;"$A$1:$BJ$55"),45,FALSE)</f>
        <v>0</v>
      </c>
      <c r="T77" s="74">
        <f ca="1">VLOOKUP(Inputs!$C$5, INDIRECT("'"&amp;Inputs!$C$4&amp;"'!"&amp;"$A$5:$BJ$55"),45,FALSE)</f>
        <v>0</v>
      </c>
    </row>
    <row r="78" spans="1:20">
      <c r="A78" s="92" t="s">
        <v>373</v>
      </c>
      <c r="B78" s="93">
        <f ca="1">0.6*(SQRT((B65/(B77*0.9))^2+3)-(B65/(B77*0.9)))</f>
        <v>1.0392288496100763</v>
      </c>
      <c r="C78" s="85"/>
      <c r="D78" s="85"/>
      <c r="E78" s="85"/>
      <c r="F78" s="85"/>
      <c r="G78" s="85"/>
      <c r="H78" s="85"/>
      <c r="I78" s="85"/>
      <c r="J78" s="85"/>
      <c r="K78" s="85"/>
      <c r="S78" s="74">
        <f ca="1">VLOOKUP("   d        b       t", INDIRECT("'"&amp;Inputs!$C$4&amp;"'!"&amp;"$A$1:$BJ$55"),46,FALSE)</f>
        <v>0</v>
      </c>
      <c r="T78" s="74">
        <f ca="1">VLOOKUP(Inputs!$C$5, INDIRECT("'"&amp;Inputs!$C$4&amp;"'!"&amp;"$A$5:$BJ$55"),46,FALSE)</f>
        <v>0</v>
      </c>
    </row>
    <row r="79" spans="1:20">
      <c r="A79" s="92" t="s">
        <v>372</v>
      </c>
      <c r="B79" s="90">
        <f>Inputs!G11</f>
        <v>1</v>
      </c>
      <c r="C79" s="85"/>
      <c r="D79" s="85"/>
      <c r="E79" s="85"/>
      <c r="F79" s="85"/>
      <c r="G79" s="85"/>
      <c r="H79" s="85"/>
      <c r="I79" s="85"/>
      <c r="J79" s="85"/>
      <c r="K79" s="85"/>
      <c r="S79" s="74">
        <f ca="1">VLOOKUP("   d        b       t", INDIRECT("'"&amp;Inputs!$C$4&amp;"'!"&amp;"$A$1:$BJ$55"),47,FALSE)</f>
        <v>0</v>
      </c>
      <c r="T79" s="74">
        <f ca="1">VLOOKUP(Inputs!$C$5, INDIRECT("'"&amp;Inputs!$C$4&amp;"'!"&amp;"$A$5:$BJ$55"),47,FALSE)</f>
        <v>0</v>
      </c>
    </row>
    <row r="80" spans="1:20">
      <c r="A80" s="74" t="s">
        <v>382</v>
      </c>
      <c r="B80" s="93">
        <f ca="1">B79*B78*B65</f>
        <v>1.8497405455536155E-12</v>
      </c>
      <c r="C80" s="88"/>
      <c r="D80" s="85"/>
      <c r="E80" s="85"/>
      <c r="S80" s="74">
        <f ca="1">VLOOKUP("   d        b       t", INDIRECT("'"&amp;Inputs!$C$4&amp;"'!"&amp;"$A$1:$BJ$55"),48,FALSE)</f>
        <v>0</v>
      </c>
      <c r="T80" s="74">
        <f ca="1">VLOOKUP(Inputs!$C$5, INDIRECT("'"&amp;Inputs!$C$4&amp;"'!"&amp;"$A$5:$BJ$55"),48,FALSE)</f>
        <v>0</v>
      </c>
    </row>
    <row r="81" spans="1:20">
      <c r="S81" s="74">
        <f ca="1">VLOOKUP("   d        b       t", INDIRECT("'"&amp;Inputs!$C$4&amp;"'!"&amp;"$A$1:$BJ$55"),49,FALSE)</f>
        <v>0</v>
      </c>
      <c r="T81" s="74">
        <f ca="1">VLOOKUP(Inputs!$C$5, INDIRECT("'"&amp;Inputs!$C$4&amp;"'!"&amp;"$A$5:$BJ$55"),49,FALSE)</f>
        <v>0</v>
      </c>
    </row>
    <row r="82" spans="1:20">
      <c r="A82" s="74" t="s">
        <v>440</v>
      </c>
      <c r="S82" s="74">
        <f ca="1">VLOOKUP("   d        b       t", INDIRECT("'"&amp;Inputs!$C$4&amp;"'!"&amp;"$A$1:$BJ$55"),50,FALSE)</f>
        <v>0</v>
      </c>
      <c r="T82" s="74">
        <f ca="1">VLOOKUP(Inputs!$C$5, INDIRECT("'"&amp;Inputs!$C$4&amp;"'!"&amp;"$A$5:$BJ$55"),50,FALSE)</f>
        <v>0</v>
      </c>
    </row>
    <row r="83" spans="1:20">
      <c r="A83" s="74" t="s">
        <v>106</v>
      </c>
      <c r="B83" s="84"/>
      <c r="C83" s="85" t="s">
        <v>11</v>
      </c>
      <c r="D83" s="85"/>
      <c r="E83" s="85"/>
      <c r="S83" s="74">
        <f ca="1">VLOOKUP("   d        b       t", INDIRECT("'"&amp;Inputs!$C$4&amp;"'!"&amp;"$A$1:$BJ$55"),51,FALSE)</f>
        <v>0</v>
      </c>
      <c r="T83" s="74">
        <f ca="1">VLOOKUP(Inputs!$C$5, INDIRECT("'"&amp;Inputs!$C$4&amp;"'!"&amp;"$A$5:$BJ$55"),51,FALSE)</f>
        <v>0</v>
      </c>
    </row>
    <row r="84" spans="1:20">
      <c r="A84" s="10" t="s">
        <v>96</v>
      </c>
      <c r="B84" s="87">
        <f ca="1">T51/T37*SQRT(T56/250)</f>
        <v>8762144350.0498848</v>
      </c>
      <c r="C84" s="87">
        <f ca="1">T35/2/T36*SQRT(T55/250)</f>
        <v>4.9994235778848655</v>
      </c>
      <c r="D84" s="85"/>
      <c r="E84" s="85"/>
      <c r="S84" s="74">
        <f ca="1">VLOOKUP("   d        b       t", INDIRECT("'"&amp;Inputs!$C$4&amp;"'!"&amp;"$A$1:$BJ$55"),52,FALSE)</f>
        <v>0</v>
      </c>
      <c r="T84" s="74">
        <f ca="1">VLOOKUP(Inputs!$C$5, INDIRECT("'"&amp;Inputs!$C$4&amp;"'!"&amp;"$A$5:$BJ$55"),52,FALSE)</f>
        <v>0</v>
      </c>
    </row>
    <row r="85" spans="1:20">
      <c r="A85" s="10" t="s">
        <v>97</v>
      </c>
      <c r="B85" s="85">
        <f>VLOOKUP("CTBoth"&amp;Inputs!G5,'Moment_Calculations (2)'!S2:Z27,7,0)</f>
        <v>115</v>
      </c>
      <c r="C85" s="85">
        <f>VLOOKUP("UCOne"&amp;Inputs!G5,'Moment_Calculations (2)'!S2:Z27,7,0)</f>
        <v>16</v>
      </c>
      <c r="D85" s="85"/>
      <c r="E85" s="91" t="s">
        <v>438</v>
      </c>
      <c r="S85" s="74">
        <f ca="1">VLOOKUP("   d        b       t", INDIRECT("'"&amp;Inputs!$C$4&amp;"'!"&amp;"$A$1:$BJ$55"),53,FALSE)</f>
        <v>0</v>
      </c>
      <c r="T85" s="74">
        <f ca="1">VLOOKUP(Inputs!$C$5, INDIRECT("'"&amp;Inputs!$C$4&amp;"'!"&amp;"$A$5:$BJ$55"),53,FALSE)</f>
        <v>0</v>
      </c>
    </row>
    <row r="86" spans="1:20">
      <c r="A86" s="10" t="s">
        <v>101</v>
      </c>
      <c r="B86" s="88">
        <f ca="1">B57/B58</f>
        <v>76192559.565651178</v>
      </c>
      <c r="C86" s="88">
        <f ca="1">C57/C58</f>
        <v>0.31246397361780409</v>
      </c>
      <c r="D86" s="85"/>
      <c r="E86" s="85"/>
      <c r="S86" s="74">
        <f ca="1">VLOOKUP("   d        b       t", INDIRECT("'"&amp;Inputs!$C$4&amp;"'!"&amp;"$A$1:$BJ$55"),54,FALSE)</f>
        <v>0</v>
      </c>
      <c r="T86" s="74">
        <f ca="1">VLOOKUP(Inputs!$C$5, INDIRECT("'"&amp;Inputs!$C$4&amp;"'!"&amp;"$A$5:$BJ$55"),54,FALSE)</f>
        <v>0</v>
      </c>
    </row>
    <row r="87" spans="1:20">
      <c r="A87" s="74" t="s">
        <v>111</v>
      </c>
      <c r="B87" s="85">
        <f>VLOOKUP("CTBoth"&amp;Inputs!G5,'Moment_Calculations (2)'!S2:Z27,6,0)</f>
        <v>82</v>
      </c>
      <c r="C87" s="85">
        <f>VLOOKUP("UCOne"&amp;Inputs!G5,'Moment_Calculations (2)'!S2:Z27,6,0)</f>
        <v>10</v>
      </c>
      <c r="D87" s="85"/>
      <c r="E87" s="91" t="s">
        <v>439</v>
      </c>
      <c r="S87" s="74">
        <f ca="1">VLOOKUP("   d        b       t", INDIRECT("'"&amp;Inputs!$C$4&amp;"'!"&amp;"$A$1:$BJ$55"),55,FALSE)</f>
        <v>0</v>
      </c>
      <c r="T87" s="74">
        <f ca="1">VLOOKUP(Inputs!$C$5, INDIRECT("'"&amp;Inputs!$C$4&amp;"'!"&amp;"$A$5:$BJ$55"),55,FALSE)</f>
        <v>0</v>
      </c>
    </row>
    <row r="88" spans="1:20">
      <c r="A88" s="74" t="s">
        <v>417</v>
      </c>
      <c r="B88" s="74">
        <f ca="1">IF(B59&gt;C59,1,0)</f>
        <v>1</v>
      </c>
      <c r="C88" s="74">
        <f ca="1">IF(B59&lt;C59,1,0)</f>
        <v>0</v>
      </c>
      <c r="D88" s="85"/>
      <c r="E88" s="85"/>
      <c r="S88" s="74">
        <f ca="1">VLOOKUP("   d        b       t", INDIRECT("'"&amp;Inputs!$C$4&amp;"'!"&amp;"$A$1:$BJ$55"),56,FALSE)</f>
        <v>0</v>
      </c>
      <c r="T88" s="74">
        <f ca="1">VLOOKUP(Inputs!$C$5, INDIRECT("'"&amp;Inputs!$C$4&amp;"'!"&amp;"$A$5:$BJ$55"),56,FALSE)</f>
        <v>0</v>
      </c>
    </row>
    <row r="89" spans="1:20">
      <c r="A89" s="74" t="s">
        <v>108</v>
      </c>
      <c r="B89" s="85">
        <f ca="1">IF(B57&lt;B60,1,0)</f>
        <v>0</v>
      </c>
      <c r="C89" s="85">
        <f ca="1">IF(C57&lt;C60,1,0)</f>
        <v>1</v>
      </c>
      <c r="D89" s="85"/>
      <c r="E89" s="85"/>
      <c r="S89" s="74">
        <f ca="1">VLOOKUP("   d        b       t", INDIRECT("'"&amp;Inputs!$C$4&amp;"'!"&amp;"$A$1:$BJ$55"),57,FALSE)</f>
        <v>0</v>
      </c>
      <c r="T89" s="74">
        <f ca="1">VLOOKUP(Inputs!$C$5, INDIRECT("'"&amp;Inputs!$C$4&amp;"'!"&amp;"$A$5:$BJ$55"),57,FALSE)</f>
        <v>0</v>
      </c>
    </row>
    <row r="90" spans="1:20">
      <c r="A90" s="74" t="s">
        <v>415</v>
      </c>
      <c r="B90" s="85">
        <f ca="1">IF(AND(B57&gt;B60,B57&lt;B58),1,0)</f>
        <v>0</v>
      </c>
      <c r="C90" s="85">
        <f ca="1">IF(AND(C57&gt;C60,C57&lt;C58),1,0)</f>
        <v>0</v>
      </c>
      <c r="D90" s="85"/>
      <c r="E90" s="85"/>
      <c r="S90" s="74">
        <f ca="1">VLOOKUP("   d        b       t", INDIRECT("'"&amp;Inputs!$C$4&amp;"'!"&amp;"$A$1:$BJ$55"),58,FALSE)</f>
        <v>0</v>
      </c>
      <c r="T90" s="74">
        <f ca="1">VLOOKUP(Inputs!$C$5, INDIRECT("'"&amp;Inputs!$C$4&amp;"'!"&amp;"$A$5:$BJ$55"),58,FALSE)</f>
        <v>0</v>
      </c>
    </row>
    <row r="91" spans="1:20">
      <c r="A91" s="74" t="s">
        <v>416</v>
      </c>
      <c r="B91" s="85">
        <f ca="1">IF(B57&gt;B58,1,0)</f>
        <v>1</v>
      </c>
      <c r="C91" s="85">
        <f ca="1">IF(C57&gt;C58,1,0)</f>
        <v>0</v>
      </c>
      <c r="D91" s="85"/>
      <c r="E91" s="85"/>
      <c r="S91" s="74">
        <f ca="1">VLOOKUP("   d        b       t", INDIRECT("'"&amp;Inputs!$C$4&amp;"'!"&amp;"$A$1:$BJ$55"),59,FALSE)</f>
        <v>0</v>
      </c>
      <c r="T91" s="74">
        <f ca="1">VLOOKUP(Inputs!$C$5, INDIRECT("'"&amp;Inputs!$C$4&amp;"'!"&amp;"$A$5:$BJ$55"),59,FALSE)</f>
        <v>0</v>
      </c>
    </row>
    <row r="92" spans="1:20">
      <c r="A92" s="74" t="s">
        <v>381</v>
      </c>
      <c r="B92" s="78">
        <f ca="1">MAX(B66:C68)</f>
        <v>1.7799164700322234E-12</v>
      </c>
      <c r="D92" s="85"/>
      <c r="E92" s="85"/>
      <c r="S92" s="74">
        <f ca="1">VLOOKUP("   d        b       t", INDIRECT("'"&amp;Inputs!$C$4&amp;"'!"&amp;"$A$1:$BJ$55"),60,FALSE)</f>
        <v>0</v>
      </c>
      <c r="T92" s="74">
        <f ca="1">VLOOKUP(Inputs!$C$5, INDIRECT("'"&amp;Inputs!$C$4&amp;"'!"&amp;"$A$5:$BJ$55"),60,FALSE)</f>
        <v>0</v>
      </c>
    </row>
    <row r="93" spans="1:20">
      <c r="A93" s="74" t="s">
        <v>108</v>
      </c>
      <c r="B93" s="87">
        <f ca="1">0.9*B61*B62*MIN(1.5*T41,T42)*MIN(T55,T56)/1000000</f>
        <v>0</v>
      </c>
      <c r="C93" s="85">
        <f ca="1">0.9*C61*C62*MIN(1.5*T41,T42)*MIN(T56,T55)/1000000</f>
        <v>0</v>
      </c>
      <c r="D93" s="87"/>
      <c r="E93" s="85"/>
      <c r="S93" s="74">
        <f ca="1">VLOOKUP("   d        b       t", INDIRECT("'"&amp;Inputs!$C$4&amp;"'!"&amp;"$A$1:$BJ$55"),61,FALSE)</f>
        <v>0</v>
      </c>
      <c r="T93" s="74">
        <f ca="1">VLOOKUP(Inputs!$C$5, INDIRECT("'"&amp;Inputs!$C$4&amp;"'!"&amp;"$A$5:$BJ$55"),61,FALSE)</f>
        <v>0</v>
      </c>
    </row>
    <row r="94" spans="1:20">
      <c r="A94" s="74" t="s">
        <v>415</v>
      </c>
      <c r="B94" s="85">
        <f ca="1">B61*B63*(T41+(((B58-B57)/(B58-B60))*(MIN(1.5*T41,T42)-T41)))</f>
        <v>0</v>
      </c>
      <c r="C94" s="85">
        <f ca="1">C61*C63*(T41+(((C58-C57)/(C58-C60))*(MIN(1.5*T41,T42)-T41)))</f>
        <v>0</v>
      </c>
      <c r="D94" s="87"/>
      <c r="E94" s="85"/>
      <c r="S94" s="74">
        <f ca="1">VLOOKUP("   d        b       t", INDIRECT("'"&amp;Inputs!$C$4&amp;"'!"&amp;"$A$1:$BJ$55"),62,FALSE)</f>
        <v>0</v>
      </c>
      <c r="T94" s="74">
        <f ca="1">VLOOKUP(Inputs!$C$5, INDIRECT("'"&amp;Inputs!$C$4&amp;"'!"&amp;"$A$5:$BJ$55"),62,FALSE)</f>
        <v>0</v>
      </c>
    </row>
    <row r="95" spans="1:20">
      <c r="A95" s="74" t="s">
        <v>416</v>
      </c>
      <c r="B95" s="86">
        <f ca="1">B61*B64*T41*(B58/B57)^2</f>
        <v>1.7799164700322234E-12</v>
      </c>
      <c r="C95" s="89">
        <f ca="1">C61*C64*T41*(C58/C57)</f>
        <v>0</v>
      </c>
      <c r="D95" s="87"/>
      <c r="E95" s="85"/>
    </row>
    <row r="96" spans="1:20">
      <c r="A96" s="10" t="s">
        <v>372</v>
      </c>
      <c r="B96" s="90">
        <f>Inputs!G11</f>
        <v>1</v>
      </c>
      <c r="C96" s="88"/>
      <c r="D96" s="85"/>
      <c r="E96" s="85"/>
    </row>
    <row r="97" spans="1:5">
      <c r="A97" s="10" t="s">
        <v>421</v>
      </c>
      <c r="B97" s="90">
        <f ca="1">VLOOKUP(TRUE,$B$71:$C$73,2,0)</f>
        <v>43218506.859375</v>
      </c>
      <c r="C97" s="85"/>
      <c r="D97" s="85"/>
      <c r="E97" s="85"/>
    </row>
    <row r="98" spans="1:5">
      <c r="A98" s="14" t="s">
        <v>418</v>
      </c>
      <c r="B98" s="87" t="b">
        <f>ISNUMBER(SEARCH(Inputs!$G$8,'Moment_Calculations (2)'!$A$44))</f>
        <v>0</v>
      </c>
      <c r="C98" s="86">
        <v>1</v>
      </c>
      <c r="E98" s="85"/>
    </row>
    <row r="99" spans="1:5">
      <c r="A99" s="14" t="s">
        <v>419</v>
      </c>
      <c r="B99" s="85" t="b">
        <f>ISNUMBER(SEARCH(Inputs!$G$8,'Moment_Calculations (2)'!$A$45))</f>
        <v>1</v>
      </c>
      <c r="C99" s="90">
        <f ca="1">1+((T51/Inputs!C13/1000)*('Moment_Calculations (2)'!T36/(2*'Moment_Calculations (2)'!T37))^3)/1</f>
        <v>43218506.859375</v>
      </c>
      <c r="E99" s="85"/>
    </row>
    <row r="100" spans="1:5">
      <c r="A100" s="14" t="s">
        <v>420</v>
      </c>
      <c r="B100" s="85" t="b">
        <f>ISNUMBER(SEARCH(Inputs!$G$8,'Moment_Calculations (2)'!$A$46))</f>
        <v>0</v>
      </c>
      <c r="C100" s="90">
        <f ca="1">1+(2*(T51/Inputs!C13/1000)*('Moment_Calculations (2)'!T36/(2*'Moment_Calculations (2)'!T37))^3)/1</f>
        <v>86437012.71875</v>
      </c>
      <c r="E100" s="85"/>
    </row>
    <row r="101" spans="1:5">
      <c r="A101" s="14" t="s">
        <v>422</v>
      </c>
      <c r="B101" s="86">
        <f>VLOOKUP(1,$M$42:$Q$46,MATCH(Inputs!$J$5,$M$42:$Q$42,0),0)</f>
        <v>1</v>
      </c>
      <c r="C101" s="85"/>
      <c r="D101" s="85"/>
      <c r="E101" s="85"/>
    </row>
    <row r="102" spans="1:5">
      <c r="A102" s="14" t="s">
        <v>433</v>
      </c>
      <c r="B102" s="86">
        <f>VLOOKUP(1,M49:P52,4,0)</f>
        <v>1</v>
      </c>
      <c r="C102" s="85"/>
      <c r="D102" s="85"/>
      <c r="E102" s="85"/>
    </row>
    <row r="103" spans="1:5">
      <c r="A103" s="14" t="s">
        <v>375</v>
      </c>
      <c r="B103" s="90">
        <f ca="1">'Moment_Calculations (2)'!B70*'Moment_Calculations (2)'!B74*'Moment_Calculations (2)'!B75*Inputs!C13</f>
        <v>432185068.59375</v>
      </c>
      <c r="C103" s="87"/>
      <c r="D103" s="85"/>
      <c r="E103" s="85"/>
    </row>
    <row r="104" spans="1:5">
      <c r="A104" s="14" t="s">
        <v>374</v>
      </c>
      <c r="B104" s="87">
        <f ca="1">SQRT(((PI()^2*200*10^9*T44*10^-12)/(B76^2))*(80*10^9*T48*10^-12 + (PI()^2*200*10^9*T49*10^-18)/(B76^2)))/1000</f>
        <v>7.257858986818163E-7</v>
      </c>
      <c r="C104" s="85"/>
      <c r="D104" s="85"/>
      <c r="E104" s="85"/>
    </row>
    <row r="105" spans="1:5">
      <c r="A105" s="92" t="s">
        <v>373</v>
      </c>
      <c r="B105" s="93">
        <f ca="1">0.6*(SQRT((B65/(B77*0.9))^2+3)-(B65/(B77*0.9)))</f>
        <v>1.0392288496100763</v>
      </c>
      <c r="C105" s="85"/>
      <c r="D105" s="85"/>
      <c r="E105" s="85"/>
    </row>
    <row r="106" spans="1:5">
      <c r="A106" s="92" t="s">
        <v>372</v>
      </c>
      <c r="B106" s="90">
        <f>Inputs!G11</f>
        <v>1</v>
      </c>
      <c r="C106" s="85"/>
      <c r="D106" s="85"/>
      <c r="E106" s="85"/>
    </row>
    <row r="107" spans="1:5">
      <c r="A107" s="74" t="s">
        <v>382</v>
      </c>
      <c r="B107" s="93">
        <f ca="1">B79*B78*B65</f>
        <v>1.8497405455536155E-12</v>
      </c>
      <c r="C107" s="88"/>
      <c r="D107" s="85"/>
      <c r="E107" s="85"/>
    </row>
  </sheetData>
  <phoneticPr fontId="15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451C-4A94-49C0-BD2D-7B813C630048}">
  <dimension ref="A1:D12"/>
  <sheetViews>
    <sheetView workbookViewId="0">
      <selection activeCell="A7" sqref="A7"/>
    </sheetView>
  </sheetViews>
  <sheetFormatPr defaultRowHeight="14.4"/>
  <cols>
    <col min="1" max="1" width="34" customWidth="1"/>
    <col min="2" max="2" width="22.6640625" customWidth="1"/>
    <col min="3" max="3" width="14.33203125" customWidth="1"/>
  </cols>
  <sheetData>
    <row r="1" spans="1:4">
      <c r="A1" s="14" t="s">
        <v>422</v>
      </c>
      <c r="B1" s="74"/>
      <c r="C1" s="74"/>
      <c r="D1" s="74"/>
    </row>
    <row r="2" spans="1:4">
      <c r="A2" s="14" t="s">
        <v>430</v>
      </c>
      <c r="B2" s="74" t="s">
        <v>431</v>
      </c>
      <c r="C2" s="74" t="s">
        <v>426</v>
      </c>
      <c r="D2" s="74" t="s">
        <v>432</v>
      </c>
    </row>
    <row r="3" spans="1:4">
      <c r="A3" s="14" t="s">
        <v>424</v>
      </c>
      <c r="B3" s="74" t="s">
        <v>428</v>
      </c>
      <c r="C3" s="74">
        <v>1</v>
      </c>
      <c r="D3" s="14">
        <v>1.4</v>
      </c>
    </row>
    <row r="4" spans="1:4">
      <c r="A4" s="14" t="s">
        <v>424</v>
      </c>
      <c r="B4" s="74" t="s">
        <v>429</v>
      </c>
      <c r="C4" s="74">
        <v>1</v>
      </c>
      <c r="D4" s="14">
        <v>2</v>
      </c>
    </row>
    <row r="5" spans="1:4">
      <c r="A5" s="14" t="s">
        <v>462</v>
      </c>
      <c r="B5" s="74" t="s">
        <v>428</v>
      </c>
      <c r="C5" s="74">
        <v>1</v>
      </c>
      <c r="D5" s="14">
        <v>1</v>
      </c>
    </row>
    <row r="6" spans="1:4">
      <c r="A6" s="14" t="s">
        <v>462</v>
      </c>
      <c r="B6" s="74" t="s">
        <v>429</v>
      </c>
      <c r="C6" s="74">
        <v>1</v>
      </c>
      <c r="D6" s="14">
        <v>2</v>
      </c>
    </row>
    <row r="7" spans="1:4">
      <c r="A7" s="14" t="s">
        <v>433</v>
      </c>
      <c r="B7" s="74"/>
      <c r="C7" s="74"/>
      <c r="D7" s="74"/>
    </row>
    <row r="8" spans="1:4">
      <c r="A8" s="14" t="s">
        <v>431</v>
      </c>
      <c r="B8" s="74" t="s">
        <v>435</v>
      </c>
      <c r="C8" s="74"/>
      <c r="D8" s="74"/>
    </row>
    <row r="9" spans="1:4">
      <c r="A9" s="14" t="s">
        <v>429</v>
      </c>
      <c r="B9" s="74" t="s">
        <v>436</v>
      </c>
      <c r="C9" s="74">
        <v>1</v>
      </c>
      <c r="D9" s="74"/>
    </row>
    <row r="10" spans="1:4">
      <c r="A10" s="14" t="s">
        <v>428</v>
      </c>
      <c r="B10" s="74" t="s">
        <v>437</v>
      </c>
      <c r="C10" s="74">
        <v>1</v>
      </c>
      <c r="D10" s="74"/>
    </row>
    <row r="11" spans="1:4">
      <c r="A11" s="14" t="s">
        <v>434</v>
      </c>
      <c r="B11" s="74" t="s">
        <v>83</v>
      </c>
      <c r="C11" s="74">
        <v>0.85</v>
      </c>
      <c r="D11" s="74"/>
    </row>
    <row r="12" spans="1:4">
      <c r="A12" s="14" t="s">
        <v>434</v>
      </c>
      <c r="B12" s="74" t="s">
        <v>89</v>
      </c>
      <c r="C12" s="74">
        <v>0.7</v>
      </c>
      <c r="D12" s="7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1AD5-3C7A-40C2-BC7B-B6541162B189}">
  <dimension ref="A1:R48"/>
  <sheetViews>
    <sheetView workbookViewId="0">
      <selection activeCell="J13" sqref="J13"/>
    </sheetView>
  </sheetViews>
  <sheetFormatPr defaultRowHeight="14.4"/>
  <sheetData>
    <row r="1" spans="1:18">
      <c r="A1" s="21"/>
      <c r="B1" s="22"/>
      <c r="C1" s="22" t="s">
        <v>362</v>
      </c>
      <c r="D1" s="22"/>
      <c r="E1" s="22"/>
      <c r="F1" s="22"/>
      <c r="G1" s="22" t="s">
        <v>361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3"/>
    </row>
    <row r="2" spans="1:18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3"/>
    </row>
    <row r="3" spans="1:18">
      <c r="A3" s="24" t="s">
        <v>7</v>
      </c>
      <c r="B3" s="24"/>
      <c r="C3" s="24"/>
      <c r="D3" s="24"/>
      <c r="E3" s="24"/>
      <c r="F3" s="57" t="s">
        <v>360</v>
      </c>
      <c r="G3" s="99" t="s">
        <v>195</v>
      </c>
      <c r="H3" s="99"/>
      <c r="I3" s="99"/>
      <c r="J3" s="99"/>
      <c r="K3" s="99"/>
      <c r="L3" s="26"/>
      <c r="M3" s="99"/>
      <c r="N3" s="99"/>
      <c r="O3" s="99"/>
      <c r="P3" s="99"/>
      <c r="Q3" s="99" t="s">
        <v>194</v>
      </c>
      <c r="R3" s="27" t="s">
        <v>193</v>
      </c>
    </row>
    <row r="4" spans="1:18">
      <c r="A4" s="96"/>
      <c r="B4" s="96"/>
      <c r="C4" s="96"/>
      <c r="D4" s="96"/>
      <c r="E4" s="96"/>
      <c r="F4" s="58" t="s">
        <v>359</v>
      </c>
      <c r="G4" s="67" t="s">
        <v>192</v>
      </c>
      <c r="H4" s="72" t="s">
        <v>16</v>
      </c>
      <c r="I4" s="72"/>
      <c r="J4" s="72"/>
      <c r="K4" s="98"/>
      <c r="L4" s="72" t="s">
        <v>19</v>
      </c>
      <c r="M4" s="72"/>
      <c r="N4" s="72"/>
      <c r="O4" s="72"/>
      <c r="P4" s="72"/>
      <c r="Q4" s="67" t="s">
        <v>191</v>
      </c>
      <c r="R4" s="97" t="s">
        <v>191</v>
      </c>
    </row>
    <row r="5" spans="1:18">
      <c r="A5" s="96"/>
      <c r="B5" s="96"/>
      <c r="C5" s="96"/>
      <c r="D5" s="96"/>
      <c r="E5" s="96"/>
      <c r="F5" s="58" t="s">
        <v>358</v>
      </c>
      <c r="G5" s="67" t="s">
        <v>190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97"/>
    </row>
    <row r="6" spans="1:18">
      <c r="A6" s="31" t="s">
        <v>118</v>
      </c>
      <c r="B6" s="31" t="s">
        <v>9</v>
      </c>
      <c r="C6" s="31" t="s">
        <v>10</v>
      </c>
      <c r="D6" s="31" t="s">
        <v>481</v>
      </c>
      <c r="E6" s="31" t="s">
        <v>13</v>
      </c>
      <c r="F6" s="59" t="s">
        <v>119</v>
      </c>
      <c r="G6" s="98" t="s">
        <v>120</v>
      </c>
      <c r="H6" s="98" t="s">
        <v>121</v>
      </c>
      <c r="I6" s="98" t="s">
        <v>122</v>
      </c>
      <c r="J6" s="98" t="s">
        <v>123</v>
      </c>
      <c r="K6" s="98" t="s">
        <v>124</v>
      </c>
      <c r="L6" s="98" t="s">
        <v>125</v>
      </c>
      <c r="M6" s="98" t="s">
        <v>126</v>
      </c>
      <c r="N6" s="98" t="s">
        <v>127</v>
      </c>
      <c r="O6" s="98" t="s">
        <v>128</v>
      </c>
      <c r="P6" s="98" t="s">
        <v>129</v>
      </c>
      <c r="Q6" s="98" t="s">
        <v>17</v>
      </c>
      <c r="R6" s="41" t="s">
        <v>18</v>
      </c>
    </row>
    <row r="7" spans="1:18">
      <c r="A7" s="35" t="s">
        <v>132</v>
      </c>
      <c r="B7" s="35" t="s">
        <v>133</v>
      </c>
      <c r="C7" s="35" t="s">
        <v>133</v>
      </c>
      <c r="D7" s="35" t="s">
        <v>133</v>
      </c>
      <c r="E7" s="35" t="s">
        <v>133</v>
      </c>
      <c r="F7" s="60" t="s">
        <v>8</v>
      </c>
      <c r="G7" s="65" t="s">
        <v>134</v>
      </c>
      <c r="H7" s="65" t="s">
        <v>135</v>
      </c>
      <c r="I7" s="65" t="s">
        <v>136</v>
      </c>
      <c r="J7" s="65" t="s">
        <v>136</v>
      </c>
      <c r="K7" s="65" t="s">
        <v>133</v>
      </c>
      <c r="L7" s="65" t="s">
        <v>135</v>
      </c>
      <c r="M7" s="65" t="s">
        <v>136</v>
      </c>
      <c r="N7" s="65"/>
      <c r="O7" s="65" t="s">
        <v>136</v>
      </c>
      <c r="P7" s="65" t="s">
        <v>133</v>
      </c>
      <c r="Q7" s="65" t="s">
        <v>135</v>
      </c>
      <c r="R7" s="42" t="s">
        <v>137</v>
      </c>
    </row>
    <row r="8" spans="1:18">
      <c r="A8" s="74" t="s">
        <v>463</v>
      </c>
      <c r="B8">
        <v>150</v>
      </c>
      <c r="C8">
        <v>57</v>
      </c>
      <c r="D8">
        <v>61</v>
      </c>
      <c r="E8" s="74">
        <v>1</v>
      </c>
      <c r="G8">
        <v>295</v>
      </c>
      <c r="H8">
        <v>1030000</v>
      </c>
      <c r="I8">
        <v>13.6</v>
      </c>
      <c r="K8">
        <v>59.1</v>
      </c>
      <c r="L8">
        <v>0.25</v>
      </c>
      <c r="Q8">
        <v>98.4</v>
      </c>
      <c r="R8">
        <v>0.96</v>
      </c>
    </row>
    <row r="9" spans="1:18">
      <c r="A9" t="s">
        <v>464</v>
      </c>
      <c r="B9" s="74">
        <v>150</v>
      </c>
      <c r="C9" s="74">
        <v>57</v>
      </c>
      <c r="D9">
        <v>61</v>
      </c>
      <c r="E9" s="74">
        <v>1.2</v>
      </c>
      <c r="G9">
        <v>354</v>
      </c>
      <c r="H9">
        <v>1230000</v>
      </c>
      <c r="I9" s="74">
        <v>16.2</v>
      </c>
      <c r="K9">
        <v>59</v>
      </c>
      <c r="L9">
        <v>0.3</v>
      </c>
      <c r="Q9">
        <v>170</v>
      </c>
      <c r="R9">
        <v>1.1499999999999999</v>
      </c>
    </row>
    <row r="10" spans="1:18">
      <c r="A10" s="74" t="s">
        <v>465</v>
      </c>
      <c r="B10" s="74">
        <v>150</v>
      </c>
      <c r="C10" s="74">
        <v>57</v>
      </c>
      <c r="D10" s="74">
        <v>61</v>
      </c>
      <c r="E10" s="74">
        <v>1.5</v>
      </c>
      <c r="G10">
        <v>443</v>
      </c>
      <c r="H10">
        <v>1530000</v>
      </c>
      <c r="I10" s="74">
        <v>20.2</v>
      </c>
      <c r="K10">
        <v>58.8</v>
      </c>
      <c r="L10">
        <v>0.37</v>
      </c>
      <c r="Q10">
        <v>332</v>
      </c>
      <c r="R10">
        <v>1.45</v>
      </c>
    </row>
    <row r="11" spans="1:18">
      <c r="A11" s="74" t="s">
        <v>466</v>
      </c>
      <c r="B11" s="74">
        <v>150</v>
      </c>
      <c r="C11" s="74">
        <v>57</v>
      </c>
      <c r="D11" s="74">
        <v>61</v>
      </c>
      <c r="E11" s="74">
        <v>1.9</v>
      </c>
      <c r="G11">
        <v>561</v>
      </c>
      <c r="H11">
        <v>1930000</v>
      </c>
      <c r="I11" s="74">
        <v>26</v>
      </c>
      <c r="K11">
        <v>58.6</v>
      </c>
      <c r="L11">
        <v>0.47</v>
      </c>
      <c r="Q11">
        <v>675</v>
      </c>
      <c r="R11">
        <v>1.84</v>
      </c>
    </row>
    <row r="12" spans="1:18">
      <c r="A12" s="74" t="s">
        <v>467</v>
      </c>
      <c r="B12" s="74">
        <v>150</v>
      </c>
      <c r="C12" s="74">
        <v>57</v>
      </c>
      <c r="D12" s="74">
        <v>61</v>
      </c>
      <c r="E12" s="74">
        <v>2.4</v>
      </c>
      <c r="G12">
        <v>707</v>
      </c>
      <c r="H12">
        <v>2410000</v>
      </c>
      <c r="I12" s="74">
        <v>31.6</v>
      </c>
      <c r="K12">
        <v>58.3</v>
      </c>
      <c r="L12">
        <v>0.59</v>
      </c>
      <c r="Q12">
        <v>1358</v>
      </c>
      <c r="R12">
        <v>2.2999999999999998</v>
      </c>
    </row>
    <row r="13" spans="1:18">
      <c r="A13" t="s">
        <v>468</v>
      </c>
      <c r="B13">
        <v>200</v>
      </c>
      <c r="C13">
        <v>69</v>
      </c>
      <c r="D13">
        <v>74</v>
      </c>
      <c r="E13" s="74">
        <v>1.2</v>
      </c>
      <c r="G13">
        <v>444</v>
      </c>
      <c r="H13">
        <v>2720000</v>
      </c>
      <c r="I13" s="74">
        <v>26.9</v>
      </c>
      <c r="K13">
        <v>78.3</v>
      </c>
      <c r="L13">
        <v>0.49</v>
      </c>
      <c r="Q13">
        <v>213</v>
      </c>
      <c r="R13">
        <v>3.38</v>
      </c>
    </row>
    <row r="14" spans="1:18">
      <c r="A14" s="74" t="s">
        <v>469</v>
      </c>
      <c r="B14" s="74">
        <v>200</v>
      </c>
      <c r="C14" s="74">
        <v>69</v>
      </c>
      <c r="D14" s="74">
        <v>74</v>
      </c>
      <c r="E14" s="74">
        <v>1.5</v>
      </c>
      <c r="G14">
        <v>556</v>
      </c>
      <c r="H14">
        <v>3390000</v>
      </c>
      <c r="I14" s="74">
        <v>33.5</v>
      </c>
      <c r="K14">
        <v>78.2</v>
      </c>
      <c r="L14">
        <v>0.61</v>
      </c>
      <c r="Q14">
        <v>417</v>
      </c>
      <c r="R14">
        <v>4.24</v>
      </c>
    </row>
    <row r="15" spans="1:18">
      <c r="A15" s="74" t="s">
        <v>470</v>
      </c>
      <c r="B15" s="74">
        <v>200</v>
      </c>
      <c r="C15" s="74">
        <v>69</v>
      </c>
      <c r="D15" s="74">
        <v>74</v>
      </c>
      <c r="E15" s="74">
        <v>1.9</v>
      </c>
      <c r="G15">
        <v>713</v>
      </c>
      <c r="H15">
        <v>4330000</v>
      </c>
      <c r="I15" s="74">
        <v>42.7</v>
      </c>
      <c r="K15">
        <v>77.900000000000006</v>
      </c>
      <c r="L15">
        <v>0.83</v>
      </c>
      <c r="Q15">
        <v>859</v>
      </c>
      <c r="R15">
        <v>5.77</v>
      </c>
    </row>
    <row r="16" spans="1:18">
      <c r="A16" s="74" t="s">
        <v>471</v>
      </c>
      <c r="B16" s="74">
        <v>200</v>
      </c>
      <c r="C16" s="74">
        <v>69</v>
      </c>
      <c r="D16" s="74">
        <v>74</v>
      </c>
      <c r="E16" s="74">
        <v>2.4</v>
      </c>
      <c r="G16">
        <v>901</v>
      </c>
      <c r="H16">
        <v>5430000</v>
      </c>
      <c r="I16" s="74">
        <v>53.6</v>
      </c>
      <c r="K16">
        <v>77.599999999999994</v>
      </c>
      <c r="L16">
        <v>1.05</v>
      </c>
      <c r="Q16">
        <v>1731</v>
      </c>
      <c r="R16">
        <v>7.32</v>
      </c>
    </row>
    <row r="17" spans="1:18">
      <c r="A17" s="74" t="s">
        <v>478</v>
      </c>
      <c r="B17">
        <v>250</v>
      </c>
      <c r="C17">
        <v>71</v>
      </c>
      <c r="D17">
        <v>76</v>
      </c>
      <c r="E17" s="74">
        <v>1.5</v>
      </c>
      <c r="G17">
        <v>638</v>
      </c>
      <c r="H17">
        <v>5850000</v>
      </c>
      <c r="I17" s="74">
        <v>46.2</v>
      </c>
      <c r="K17">
        <v>95.7</v>
      </c>
      <c r="L17">
        <v>0.67</v>
      </c>
      <c r="Q17">
        <v>479</v>
      </c>
      <c r="R17">
        <v>7.5</v>
      </c>
    </row>
    <row r="18" spans="1:18">
      <c r="A18" s="74" t="s">
        <v>479</v>
      </c>
      <c r="B18" s="74">
        <v>250</v>
      </c>
      <c r="C18" s="74">
        <v>71</v>
      </c>
      <c r="D18" s="74">
        <v>76</v>
      </c>
      <c r="E18" s="74">
        <v>1.9</v>
      </c>
      <c r="G18">
        <v>808</v>
      </c>
      <c r="H18">
        <v>7380000</v>
      </c>
      <c r="I18" s="74">
        <v>58.4</v>
      </c>
      <c r="K18">
        <v>95.5</v>
      </c>
      <c r="L18">
        <v>0.85</v>
      </c>
      <c r="Q18">
        <v>973</v>
      </c>
      <c r="R18">
        <v>9.5299999999999994</v>
      </c>
    </row>
    <row r="19" spans="1:18">
      <c r="A19" s="74" t="s">
        <v>480</v>
      </c>
      <c r="B19" s="74">
        <v>250</v>
      </c>
      <c r="C19" s="74">
        <v>71</v>
      </c>
      <c r="D19" s="74">
        <v>76</v>
      </c>
      <c r="E19" s="74">
        <v>2.4</v>
      </c>
      <c r="G19">
        <v>1021</v>
      </c>
      <c r="H19">
        <v>9280000</v>
      </c>
      <c r="I19" s="74">
        <v>73.400000000000006</v>
      </c>
      <c r="K19">
        <v>95.3</v>
      </c>
      <c r="L19">
        <v>1.08</v>
      </c>
      <c r="Q19">
        <v>1962</v>
      </c>
      <c r="R19">
        <v>12.1</v>
      </c>
    </row>
    <row r="20" spans="1:18">
      <c r="A20" t="s">
        <v>472</v>
      </c>
      <c r="B20">
        <v>300</v>
      </c>
      <c r="C20">
        <v>91</v>
      </c>
      <c r="D20">
        <v>98</v>
      </c>
      <c r="E20" s="74">
        <v>1.9</v>
      </c>
      <c r="G20">
        <v>998</v>
      </c>
      <c r="H20">
        <v>13400000</v>
      </c>
      <c r="I20" s="74">
        <v>88.2</v>
      </c>
      <c r="K20">
        <v>115</v>
      </c>
      <c r="L20">
        <v>1.77</v>
      </c>
      <c r="Q20">
        <v>1201</v>
      </c>
      <c r="R20">
        <v>28.2</v>
      </c>
    </row>
    <row r="21" spans="1:18">
      <c r="A21" s="74" t="s">
        <v>473</v>
      </c>
      <c r="B21">
        <v>300</v>
      </c>
      <c r="C21" s="74">
        <v>91</v>
      </c>
      <c r="D21" s="74">
        <v>98</v>
      </c>
      <c r="E21" s="74">
        <v>2.4</v>
      </c>
      <c r="G21">
        <v>1261</v>
      </c>
      <c r="H21">
        <v>16900000</v>
      </c>
      <c r="I21" s="74">
        <v>111</v>
      </c>
      <c r="K21">
        <v>115</v>
      </c>
      <c r="L21">
        <v>2.2400000000000002</v>
      </c>
      <c r="Q21">
        <v>2422</v>
      </c>
      <c r="R21">
        <v>35.799999999999997</v>
      </c>
    </row>
    <row r="22" spans="1:18">
      <c r="A22" s="74" t="s">
        <v>474</v>
      </c>
      <c r="B22">
        <v>300</v>
      </c>
      <c r="C22" s="74">
        <v>91</v>
      </c>
      <c r="D22" s="74">
        <v>98</v>
      </c>
      <c r="E22" s="74">
        <v>3</v>
      </c>
      <c r="G22">
        <v>1593</v>
      </c>
      <c r="H22">
        <v>21200000</v>
      </c>
      <c r="I22" s="74">
        <v>139</v>
      </c>
      <c r="K22">
        <v>115</v>
      </c>
      <c r="L22">
        <v>2.94</v>
      </c>
      <c r="Q22">
        <v>4780</v>
      </c>
      <c r="R22">
        <v>47.2</v>
      </c>
    </row>
    <row r="23" spans="1:18">
      <c r="A23" s="74" t="s">
        <v>475</v>
      </c>
      <c r="B23">
        <v>350</v>
      </c>
      <c r="C23">
        <v>116</v>
      </c>
      <c r="D23">
        <v>124</v>
      </c>
      <c r="E23" s="74">
        <v>1.9</v>
      </c>
      <c r="G23">
        <v>1207</v>
      </c>
      <c r="H23">
        <v>22600000</v>
      </c>
      <c r="I23" s="74">
        <v>128</v>
      </c>
      <c r="K23">
        <v>137</v>
      </c>
      <c r="L23">
        <v>3.58</v>
      </c>
      <c r="Q23">
        <v>1452</v>
      </c>
      <c r="R23">
        <v>76.099999999999994</v>
      </c>
    </row>
    <row r="24" spans="1:18">
      <c r="A24" s="74" t="s">
        <v>476</v>
      </c>
      <c r="B24">
        <v>350</v>
      </c>
      <c r="C24" s="74">
        <v>116</v>
      </c>
      <c r="D24" s="74">
        <v>124</v>
      </c>
      <c r="E24" s="74">
        <v>2.4</v>
      </c>
      <c r="G24">
        <v>1525</v>
      </c>
      <c r="H24">
        <v>28500000</v>
      </c>
      <c r="I24" s="74">
        <v>161</v>
      </c>
      <c r="K24">
        <v>137</v>
      </c>
      <c r="L24">
        <v>4.54</v>
      </c>
      <c r="Q24">
        <v>2929</v>
      </c>
      <c r="R24">
        <v>96.4</v>
      </c>
    </row>
    <row r="25" spans="1:18">
      <c r="A25" s="74" t="s">
        <v>477</v>
      </c>
      <c r="B25">
        <v>350</v>
      </c>
      <c r="C25" s="74">
        <v>116</v>
      </c>
      <c r="D25" s="74">
        <v>124</v>
      </c>
      <c r="E25" s="74">
        <v>3</v>
      </c>
      <c r="G25">
        <v>1908</v>
      </c>
      <c r="H25">
        <v>35500000</v>
      </c>
      <c r="I25" s="74">
        <v>200</v>
      </c>
      <c r="K25">
        <v>136</v>
      </c>
      <c r="L25">
        <v>5.7</v>
      </c>
      <c r="Q25">
        <v>5725</v>
      </c>
      <c r="R25">
        <v>121</v>
      </c>
    </row>
    <row r="31" spans="1:18">
      <c r="B31" s="74">
        <v>150</v>
      </c>
      <c r="C31" s="74">
        <v>58</v>
      </c>
      <c r="D31" s="74">
        <v>1</v>
      </c>
      <c r="E31" s="74">
        <v>1</v>
      </c>
    </row>
    <row r="32" spans="1:18">
      <c r="B32" s="74">
        <v>150</v>
      </c>
      <c r="C32" s="74">
        <v>58</v>
      </c>
      <c r="D32" s="74">
        <v>1.2</v>
      </c>
      <c r="E32" s="74">
        <v>1.2</v>
      </c>
    </row>
    <row r="33" spans="2:5">
      <c r="B33" s="74">
        <v>150</v>
      </c>
      <c r="C33" s="74">
        <v>58</v>
      </c>
      <c r="D33" s="74">
        <v>1.5</v>
      </c>
      <c r="E33" s="74">
        <v>1.5</v>
      </c>
    </row>
    <row r="34" spans="2:5">
      <c r="B34" s="74">
        <v>150</v>
      </c>
      <c r="C34" s="74">
        <v>58</v>
      </c>
      <c r="D34" s="74">
        <v>1.9</v>
      </c>
      <c r="E34" s="74">
        <v>1.9</v>
      </c>
    </row>
    <row r="35" spans="2:5">
      <c r="B35" s="74">
        <v>150</v>
      </c>
      <c r="C35" s="74">
        <v>58</v>
      </c>
      <c r="D35" s="74">
        <v>2.4</v>
      </c>
      <c r="E35" s="74">
        <v>2.4</v>
      </c>
    </row>
    <row r="36" spans="2:5">
      <c r="B36" s="74">
        <v>200</v>
      </c>
      <c r="C36" s="74">
        <v>72</v>
      </c>
      <c r="D36" s="74">
        <v>1.2</v>
      </c>
      <c r="E36" s="74">
        <v>1.2</v>
      </c>
    </row>
    <row r="37" spans="2:5">
      <c r="B37" s="74">
        <v>200</v>
      </c>
      <c r="C37" s="74">
        <v>72</v>
      </c>
      <c r="D37" s="74">
        <v>1.5</v>
      </c>
      <c r="E37" s="74">
        <v>1.5</v>
      </c>
    </row>
    <row r="38" spans="2:5">
      <c r="B38" s="74">
        <v>200</v>
      </c>
      <c r="C38" s="74">
        <v>72</v>
      </c>
      <c r="D38" s="74">
        <v>1.9</v>
      </c>
      <c r="E38" s="74">
        <v>1.9</v>
      </c>
    </row>
    <row r="39" spans="2:5">
      <c r="B39" s="74">
        <v>200</v>
      </c>
      <c r="C39" s="74">
        <v>72</v>
      </c>
      <c r="D39" s="74">
        <v>2.4</v>
      </c>
      <c r="E39" s="74">
        <v>2.4</v>
      </c>
    </row>
    <row r="40" spans="2:5">
      <c r="B40" s="74">
        <v>250</v>
      </c>
      <c r="C40" s="74">
        <v>73</v>
      </c>
      <c r="D40" s="74">
        <v>1.5</v>
      </c>
      <c r="E40" s="74">
        <v>1.5</v>
      </c>
    </row>
    <row r="41" spans="2:5">
      <c r="B41" s="74">
        <v>250</v>
      </c>
      <c r="C41" s="74">
        <v>73</v>
      </c>
      <c r="D41" s="74">
        <v>1.9</v>
      </c>
      <c r="E41" s="74">
        <v>1.9</v>
      </c>
    </row>
    <row r="42" spans="2:5">
      <c r="B42" s="74">
        <v>250</v>
      </c>
      <c r="C42" s="74">
        <v>73</v>
      </c>
      <c r="D42" s="74">
        <v>2.4</v>
      </c>
      <c r="E42" s="74">
        <v>2.4</v>
      </c>
    </row>
    <row r="43" spans="2:5">
      <c r="B43" s="74">
        <v>300</v>
      </c>
      <c r="C43" s="74">
        <v>93</v>
      </c>
      <c r="D43" s="74">
        <v>1.9</v>
      </c>
      <c r="E43" s="74">
        <v>1.9</v>
      </c>
    </row>
    <row r="44" spans="2:5">
      <c r="B44" s="74">
        <v>300</v>
      </c>
      <c r="C44" s="74">
        <v>93</v>
      </c>
      <c r="D44" s="74">
        <v>2.4</v>
      </c>
      <c r="E44" s="74">
        <v>2.4</v>
      </c>
    </row>
    <row r="45" spans="2:5">
      <c r="B45" s="74">
        <v>300</v>
      </c>
      <c r="C45" s="74">
        <v>93</v>
      </c>
      <c r="D45" s="74">
        <v>3</v>
      </c>
      <c r="E45" s="74">
        <v>3</v>
      </c>
    </row>
    <row r="46" spans="2:5">
      <c r="B46" s="74">
        <v>350</v>
      </c>
      <c r="C46" s="74">
        <v>120</v>
      </c>
      <c r="D46" s="74">
        <v>1.9</v>
      </c>
      <c r="E46" s="74">
        <v>1.9</v>
      </c>
    </row>
    <row r="47" spans="2:5">
      <c r="B47" s="74">
        <v>350</v>
      </c>
      <c r="C47" s="74">
        <v>120</v>
      </c>
      <c r="D47" s="74">
        <v>2.4</v>
      </c>
      <c r="E47" s="74">
        <v>2.4</v>
      </c>
    </row>
    <row r="48" spans="2:5">
      <c r="B48" s="74">
        <v>350</v>
      </c>
      <c r="C48" s="74">
        <v>120</v>
      </c>
      <c r="D48" s="74">
        <v>3</v>
      </c>
      <c r="E48" s="74">
        <v>3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D0C73-647C-4512-B484-4D7383D49DC6}">
  <dimension ref="A1:H26"/>
  <sheetViews>
    <sheetView workbookViewId="0">
      <selection activeCell="A17" sqref="A17:XFD17"/>
    </sheetView>
  </sheetViews>
  <sheetFormatPr defaultRowHeight="14.4"/>
  <cols>
    <col min="1" max="4" width="8.88671875" customWidth="1"/>
  </cols>
  <sheetData>
    <row r="1" spans="1:8">
      <c r="A1" s="74" t="s">
        <v>98</v>
      </c>
      <c r="B1" s="74"/>
      <c r="C1" s="3"/>
      <c r="D1" s="4" t="s">
        <v>77</v>
      </c>
      <c r="E1" s="4" t="s">
        <v>78</v>
      </c>
      <c r="F1" s="4" t="s">
        <v>79</v>
      </c>
      <c r="G1" s="4" t="s">
        <v>80</v>
      </c>
      <c r="H1" s="5" t="s">
        <v>81</v>
      </c>
    </row>
    <row r="2" spans="1:8">
      <c r="A2" s="74" t="s">
        <v>441</v>
      </c>
      <c r="B2" s="1" t="s">
        <v>391</v>
      </c>
      <c r="C2" s="1"/>
      <c r="D2" s="2" t="s">
        <v>83</v>
      </c>
      <c r="E2" s="2" t="s">
        <v>84</v>
      </c>
      <c r="F2" s="2">
        <v>10</v>
      </c>
      <c r="G2" s="2">
        <v>16</v>
      </c>
      <c r="H2" s="6">
        <v>35</v>
      </c>
    </row>
    <row r="3" spans="1:8">
      <c r="A3" s="74" t="s">
        <v>442</v>
      </c>
      <c r="B3" s="1" t="s">
        <v>391</v>
      </c>
      <c r="C3" s="1"/>
      <c r="D3" s="2" t="s">
        <v>83</v>
      </c>
      <c r="E3" s="2" t="s">
        <v>85</v>
      </c>
      <c r="F3" s="2">
        <v>9</v>
      </c>
      <c r="G3" s="2">
        <v>16</v>
      </c>
      <c r="H3" s="6">
        <v>35</v>
      </c>
    </row>
    <row r="4" spans="1:8">
      <c r="A4" s="74" t="s">
        <v>443</v>
      </c>
      <c r="B4" s="1" t="s">
        <v>391</v>
      </c>
      <c r="C4" s="1"/>
      <c r="D4" s="2" t="s">
        <v>83</v>
      </c>
      <c r="E4" s="2" t="s">
        <v>91</v>
      </c>
      <c r="F4" s="2">
        <v>8</v>
      </c>
      <c r="G4" s="2">
        <v>15</v>
      </c>
      <c r="H4" s="6">
        <v>35</v>
      </c>
    </row>
    <row r="5" spans="1:8">
      <c r="A5" s="74" t="s">
        <v>444</v>
      </c>
      <c r="B5" s="1" t="s">
        <v>391</v>
      </c>
      <c r="C5" s="1"/>
      <c r="D5" s="2" t="s">
        <v>83</v>
      </c>
      <c r="E5" s="2" t="s">
        <v>414</v>
      </c>
      <c r="F5" s="2">
        <v>8</v>
      </c>
      <c r="G5" s="2">
        <v>15</v>
      </c>
      <c r="H5" s="6">
        <v>35</v>
      </c>
    </row>
    <row r="6" spans="1:8">
      <c r="A6" s="74" t="s">
        <v>445</v>
      </c>
      <c r="B6" s="1" t="s">
        <v>391</v>
      </c>
      <c r="C6" s="1"/>
      <c r="D6" s="2" t="s">
        <v>83</v>
      </c>
      <c r="E6" s="2" t="s">
        <v>87</v>
      </c>
      <c r="F6" s="2">
        <v>8</v>
      </c>
      <c r="G6" s="2">
        <v>14</v>
      </c>
      <c r="H6" s="6">
        <v>35</v>
      </c>
    </row>
    <row r="7" spans="1:8">
      <c r="A7" s="74" t="s">
        <v>482</v>
      </c>
      <c r="B7" s="1" t="s">
        <v>413</v>
      </c>
      <c r="C7" s="1"/>
      <c r="D7" s="2" t="s">
        <v>83</v>
      </c>
      <c r="E7" s="2" t="s">
        <v>84</v>
      </c>
      <c r="F7" s="2">
        <v>10</v>
      </c>
      <c r="G7" s="2">
        <v>25</v>
      </c>
      <c r="H7" s="6"/>
    </row>
    <row r="8" spans="1:8">
      <c r="A8" s="74" t="s">
        <v>483</v>
      </c>
      <c r="B8" s="1" t="s">
        <v>413</v>
      </c>
      <c r="C8" s="1"/>
      <c r="D8" s="2" t="s">
        <v>83</v>
      </c>
      <c r="E8" s="2" t="s">
        <v>85</v>
      </c>
      <c r="F8" s="2">
        <v>9</v>
      </c>
      <c r="G8" s="2">
        <v>25</v>
      </c>
      <c r="H8" s="6"/>
    </row>
    <row r="9" spans="1:8">
      <c r="A9" s="74" t="s">
        <v>484</v>
      </c>
      <c r="B9" s="1" t="s">
        <v>413</v>
      </c>
      <c r="C9" s="1"/>
      <c r="D9" s="2" t="s">
        <v>83</v>
      </c>
      <c r="E9" s="2" t="s">
        <v>91</v>
      </c>
      <c r="F9" s="2">
        <v>8</v>
      </c>
      <c r="G9" s="2">
        <v>22</v>
      </c>
      <c r="H9" s="6"/>
    </row>
    <row r="10" spans="1:8">
      <c r="A10" s="74" t="s">
        <v>485</v>
      </c>
      <c r="B10" s="1" t="s">
        <v>413</v>
      </c>
      <c r="C10" s="1"/>
      <c r="D10" s="2" t="s">
        <v>83</v>
      </c>
      <c r="E10" s="2" t="s">
        <v>414</v>
      </c>
      <c r="F10" s="2">
        <v>8</v>
      </c>
      <c r="G10" s="2">
        <v>22</v>
      </c>
      <c r="H10" s="6"/>
    </row>
    <row r="11" spans="1:8">
      <c r="A11" s="74" t="s">
        <v>486</v>
      </c>
      <c r="B11" s="1" t="s">
        <v>413</v>
      </c>
      <c r="C11" s="1"/>
      <c r="D11" s="2" t="s">
        <v>83</v>
      </c>
      <c r="E11" s="2" t="s">
        <v>87</v>
      </c>
      <c r="F11" s="2">
        <v>8</v>
      </c>
      <c r="G11" s="2">
        <v>22</v>
      </c>
      <c r="H11" s="6"/>
    </row>
    <row r="12" spans="1:8">
      <c r="A12" s="74" t="s">
        <v>446</v>
      </c>
      <c r="B12" s="1" t="s">
        <v>391</v>
      </c>
      <c r="C12" s="1"/>
      <c r="D12" s="2" t="s">
        <v>89</v>
      </c>
      <c r="E12" s="2" t="s">
        <v>84</v>
      </c>
      <c r="F12" s="2">
        <v>30</v>
      </c>
      <c r="G12" s="2">
        <v>45</v>
      </c>
      <c r="H12" s="6">
        <v>90</v>
      </c>
    </row>
    <row r="13" spans="1:8">
      <c r="A13" s="74" t="s">
        <v>447</v>
      </c>
      <c r="B13" s="1" t="s">
        <v>391</v>
      </c>
      <c r="C13" s="1"/>
      <c r="D13" s="2" t="s">
        <v>89</v>
      </c>
      <c r="E13" s="2" t="s">
        <v>85</v>
      </c>
      <c r="F13" s="2">
        <v>30</v>
      </c>
      <c r="G13" s="2">
        <v>45</v>
      </c>
      <c r="H13" s="6">
        <v>90</v>
      </c>
    </row>
    <row r="14" spans="1:8">
      <c r="A14" s="74" t="s">
        <v>448</v>
      </c>
      <c r="B14" s="1" t="s">
        <v>391</v>
      </c>
      <c r="C14" s="1"/>
      <c r="D14" s="2" t="s">
        <v>89</v>
      </c>
      <c r="E14" s="2" t="s">
        <v>91</v>
      </c>
      <c r="F14" s="2">
        <v>30</v>
      </c>
      <c r="G14" s="2">
        <v>40</v>
      </c>
      <c r="H14" s="6">
        <v>90</v>
      </c>
    </row>
    <row r="15" spans="1:8">
      <c r="A15" s="74" t="s">
        <v>449</v>
      </c>
      <c r="B15" s="1" t="s">
        <v>391</v>
      </c>
      <c r="C15" s="1"/>
      <c r="D15" s="2" t="s">
        <v>89</v>
      </c>
      <c r="E15" s="2" t="s">
        <v>414</v>
      </c>
      <c r="F15" s="2">
        <v>30</v>
      </c>
      <c r="G15" s="2">
        <v>40</v>
      </c>
      <c r="H15" s="6">
        <v>90</v>
      </c>
    </row>
    <row r="16" spans="1:8">
      <c r="A16" s="74" t="s">
        <v>450</v>
      </c>
      <c r="B16" s="1" t="s">
        <v>391</v>
      </c>
      <c r="C16" s="1"/>
      <c r="D16" s="2" t="s">
        <v>89</v>
      </c>
      <c r="E16" s="2" t="s">
        <v>87</v>
      </c>
      <c r="F16" s="2">
        <v>30</v>
      </c>
      <c r="G16" s="2">
        <v>35</v>
      </c>
      <c r="H16" s="6">
        <v>90</v>
      </c>
    </row>
    <row r="17" spans="1:8">
      <c r="A17" s="74" t="s">
        <v>451</v>
      </c>
      <c r="B17" s="11" t="s">
        <v>413</v>
      </c>
      <c r="C17" s="1"/>
      <c r="D17" s="2" t="s">
        <v>89</v>
      </c>
      <c r="E17" s="2" t="s">
        <v>84</v>
      </c>
      <c r="F17" s="2">
        <v>82</v>
      </c>
      <c r="G17" s="2">
        <v>115</v>
      </c>
      <c r="H17" s="6"/>
    </row>
    <row r="18" spans="1:8">
      <c r="A18" s="74" t="s">
        <v>452</v>
      </c>
      <c r="B18" s="11" t="s">
        <v>413</v>
      </c>
      <c r="C18" s="1"/>
      <c r="D18" s="2" t="s">
        <v>89</v>
      </c>
      <c r="E18" s="14" t="s">
        <v>85</v>
      </c>
      <c r="F18" s="2">
        <v>82</v>
      </c>
      <c r="G18" s="2">
        <v>115</v>
      </c>
      <c r="H18" s="74"/>
    </row>
    <row r="19" spans="1:8">
      <c r="A19" s="74" t="s">
        <v>453</v>
      </c>
      <c r="B19" s="11" t="s">
        <v>413</v>
      </c>
      <c r="C19" s="1"/>
      <c r="D19" s="2" t="s">
        <v>89</v>
      </c>
      <c r="E19" s="14" t="s">
        <v>91</v>
      </c>
      <c r="F19" s="2">
        <v>82</v>
      </c>
      <c r="G19" s="2">
        <v>115</v>
      </c>
      <c r="H19" s="74"/>
    </row>
    <row r="20" spans="1:8">
      <c r="A20" s="74" t="s">
        <v>454</v>
      </c>
      <c r="B20" s="11" t="s">
        <v>413</v>
      </c>
      <c r="C20" s="1"/>
      <c r="D20" s="2" t="s">
        <v>89</v>
      </c>
      <c r="E20" s="14" t="s">
        <v>414</v>
      </c>
      <c r="F20" s="2">
        <v>82</v>
      </c>
      <c r="G20" s="2">
        <v>115</v>
      </c>
      <c r="H20" s="74"/>
    </row>
    <row r="21" spans="1:8">
      <c r="A21" s="74" t="s">
        <v>455</v>
      </c>
      <c r="B21" s="11" t="s">
        <v>413</v>
      </c>
      <c r="C21" s="1"/>
      <c r="D21" s="2" t="s">
        <v>89</v>
      </c>
      <c r="E21" s="14" t="s">
        <v>87</v>
      </c>
      <c r="F21" s="2">
        <v>82</v>
      </c>
      <c r="G21" s="2">
        <v>115</v>
      </c>
      <c r="H21" s="74"/>
    </row>
    <row r="22" spans="1:8">
      <c r="A22" s="74" t="s">
        <v>456</v>
      </c>
      <c r="B22" s="1" t="s">
        <v>410</v>
      </c>
      <c r="C22" s="74"/>
      <c r="D22" s="2"/>
      <c r="E22" s="2" t="s">
        <v>84</v>
      </c>
      <c r="F22" s="2">
        <v>50</v>
      </c>
      <c r="G22" s="2">
        <v>120</v>
      </c>
      <c r="H22" s="6"/>
    </row>
    <row r="23" spans="1:8">
      <c r="A23" s="74" t="s">
        <v>457</v>
      </c>
      <c r="B23" s="1" t="s">
        <v>410</v>
      </c>
      <c r="C23" s="1"/>
      <c r="D23" s="2"/>
      <c r="E23" s="2" t="s">
        <v>85</v>
      </c>
      <c r="F23" s="2">
        <v>50</v>
      </c>
      <c r="G23" s="2">
        <v>120</v>
      </c>
      <c r="H23" s="6"/>
    </row>
    <row r="24" spans="1:8">
      <c r="A24" s="74" t="s">
        <v>458</v>
      </c>
      <c r="B24" s="1" t="s">
        <v>410</v>
      </c>
      <c r="C24" s="1"/>
      <c r="D24" s="2"/>
      <c r="E24" s="2" t="s">
        <v>414</v>
      </c>
      <c r="F24" s="2">
        <v>50</v>
      </c>
      <c r="G24" s="2">
        <v>120</v>
      </c>
      <c r="H24" s="6"/>
    </row>
    <row r="25" spans="1:8">
      <c r="A25" s="74" t="s">
        <v>459</v>
      </c>
      <c r="B25" s="1" t="s">
        <v>410</v>
      </c>
      <c r="C25" s="1"/>
      <c r="D25" s="2"/>
      <c r="E25" s="2" t="s">
        <v>91</v>
      </c>
      <c r="F25" s="2">
        <v>42</v>
      </c>
      <c r="G25" s="2">
        <v>120</v>
      </c>
      <c r="H25" s="6"/>
    </row>
    <row r="26" spans="1:8">
      <c r="A26" s="74" t="s">
        <v>460</v>
      </c>
      <c r="B26" s="1" t="s">
        <v>410</v>
      </c>
      <c r="C26" s="7"/>
      <c r="D26" s="8"/>
      <c r="E26" s="8" t="s">
        <v>87</v>
      </c>
      <c r="F26" s="8">
        <v>42</v>
      </c>
      <c r="G26" s="8">
        <v>120</v>
      </c>
      <c r="H26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559A-C5FF-43A6-96B1-C2F4D2DD6135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F29E-AB51-4658-8634-9C8D84AAF07C}">
  <dimension ref="A2:K11"/>
  <sheetViews>
    <sheetView workbookViewId="0">
      <selection activeCell="H23" sqref="H22:H23"/>
    </sheetView>
  </sheetViews>
  <sheetFormatPr defaultRowHeight="14.4"/>
  <sheetData>
    <row r="2" spans="1:11" s="74" customFormat="1">
      <c r="A2" s="74" t="s">
        <v>368</v>
      </c>
      <c r="D2" s="74" t="s">
        <v>404</v>
      </c>
      <c r="G2" s="74" t="s">
        <v>406</v>
      </c>
      <c r="J2" s="74" t="s">
        <v>6</v>
      </c>
    </row>
    <row r="3" spans="1:11">
      <c r="A3">
        <f>IF(Inputs!C4="Universal_Beam",1,0)</f>
        <v>1</v>
      </c>
      <c r="D3" s="74">
        <f>IF(Inputs!F4="Universal_Beam",1,0)</f>
        <v>0</v>
      </c>
      <c r="E3" s="74"/>
      <c r="G3" s="74">
        <f>IF(Inputs!I4="Universal_Beam",1,0)</f>
        <v>0</v>
      </c>
      <c r="H3" s="74"/>
      <c r="J3" s="74">
        <f>IF(Inputs!L4="Universal_Beam",1,0)</f>
        <v>0</v>
      </c>
      <c r="K3" s="74"/>
    </row>
    <row r="4" spans="1:11">
      <c r="A4" t="s">
        <v>399</v>
      </c>
      <c r="B4">
        <f>VLOOKUP(Inputs!C5,Universal_Beam!A1:AJ36,2,0)</f>
        <v>528</v>
      </c>
      <c r="D4" s="74" t="s">
        <v>399</v>
      </c>
      <c r="E4" s="74" t="e">
        <f>VLOOKUP(Inputs!$C$5,Universal_Column!$A$1:$AM$36,2,0)</f>
        <v>#N/A</v>
      </c>
      <c r="G4" s="74" t="s">
        <v>399</v>
      </c>
      <c r="H4" s="74" t="e">
        <f>VLOOKUP(Inputs!$C$5,Equal_Angle!$A$1:$AM$36,2,0)</f>
        <v>#N/A</v>
      </c>
      <c r="J4" s="74" t="s">
        <v>399</v>
      </c>
      <c r="K4" s="74" t="e">
        <f>VLOOKUP(Inputs!$C$5,PFC!$A$1:$AM$36,2,0)</f>
        <v>#N/A</v>
      </c>
    </row>
    <row r="5" spans="1:11">
      <c r="A5" t="s">
        <v>400</v>
      </c>
      <c r="B5">
        <f>B4*B6</f>
        <v>5068.8</v>
      </c>
      <c r="D5" s="74" t="s">
        <v>400</v>
      </c>
      <c r="E5" s="74" t="e">
        <f>E4*E6</f>
        <v>#N/A</v>
      </c>
      <c r="G5" s="74" t="s">
        <v>400</v>
      </c>
      <c r="H5" s="74" t="e">
        <f>H4*H6</f>
        <v>#N/A</v>
      </c>
      <c r="J5" s="74" t="s">
        <v>400</v>
      </c>
      <c r="K5" s="74" t="e">
        <f>K4*K6</f>
        <v>#N/A</v>
      </c>
    </row>
    <row r="6" spans="1:11">
      <c r="A6" t="s">
        <v>13</v>
      </c>
      <c r="B6">
        <f>VLOOKUP(Inputs!C5,Universal_Beam!A1:AJ36,5,0)</f>
        <v>9.6</v>
      </c>
      <c r="D6" s="74" t="s">
        <v>13</v>
      </c>
      <c r="E6" s="74" t="e">
        <f>VLOOKUP(Inputs!$C$5,Universal_Column!$A$1:$AM$36,5,0)</f>
        <v>#N/A</v>
      </c>
      <c r="G6" s="74" t="s">
        <v>13</v>
      </c>
      <c r="H6" s="74" t="e">
        <f>VLOOKUP(Inputs!$C$5,Equal_Angle!$A$1:$AM$36,5,0)</f>
        <v>#N/A</v>
      </c>
      <c r="J6" s="74" t="s">
        <v>13</v>
      </c>
      <c r="K6" s="74" t="e">
        <f>VLOOKUP(Inputs!$C$5,PFC!$A$1:$AM$36,5,0)</f>
        <v>#N/A</v>
      </c>
    </row>
    <row r="7" spans="1:11">
      <c r="A7" t="s">
        <v>370</v>
      </c>
      <c r="B7">
        <f>VLOOKUP(Inputs!C5,Universal_Beam!A1:AJ36,25,0)</f>
        <v>320</v>
      </c>
      <c r="D7" s="74" t="s">
        <v>370</v>
      </c>
      <c r="E7" s="74" t="e">
        <f>VLOOKUP(Inputs!$C$5,Universal_Column!$A$1:$AM$36,24,0)</f>
        <v>#N/A</v>
      </c>
      <c r="G7" s="74" t="s">
        <v>370</v>
      </c>
      <c r="H7" s="74" t="e">
        <f>VLOOKUP(Inputs!$C$5,Equal_Angle!$A$1:$AM$36,31,0)</f>
        <v>#N/A</v>
      </c>
      <c r="J7" s="74" t="s">
        <v>370</v>
      </c>
      <c r="K7" s="74" t="e">
        <f>VLOOKUP(Inputs!$C$5,PFC!$A$1:$AM$36,23,0)</f>
        <v>#N/A</v>
      </c>
    </row>
    <row r="8" spans="1:11">
      <c r="A8" t="s">
        <v>401</v>
      </c>
      <c r="B8" t="str">
        <f>IF(B4/B6&gt;82/SQRT(B7/250),"Vb","Vw")</f>
        <v>Vw</v>
      </c>
      <c r="D8" s="74" t="s">
        <v>401</v>
      </c>
      <c r="E8" s="74" t="e">
        <f>IF(E4/E6&gt;82/SQRT(E7/250),"Vb","Vw")</f>
        <v>#N/A</v>
      </c>
      <c r="G8" s="74" t="s">
        <v>401</v>
      </c>
      <c r="H8" s="74" t="e">
        <f>IF(H4/H6&gt;82/SQRT(H7/250),"Vb","Vw")</f>
        <v>#N/A</v>
      </c>
      <c r="J8" s="74" t="s">
        <v>401</v>
      </c>
      <c r="K8" s="74" t="e">
        <f>IF(K4/K6&gt;82/SQRT(K7/250),"Vb","Vw")</f>
        <v>#N/A</v>
      </c>
    </row>
    <row r="9" spans="1:11">
      <c r="D9" s="74"/>
      <c r="E9" s="74"/>
      <c r="G9" s="74"/>
      <c r="H9" s="74"/>
      <c r="J9" s="74"/>
      <c r="K9" s="74"/>
    </row>
    <row r="10" spans="1:11">
      <c r="A10" t="s">
        <v>402</v>
      </c>
      <c r="B10" t="s">
        <v>403</v>
      </c>
      <c r="D10" s="74" t="s">
        <v>402</v>
      </c>
      <c r="E10" s="74" t="s">
        <v>403</v>
      </c>
      <c r="G10" s="74" t="s">
        <v>402</v>
      </c>
      <c r="H10" s="74" t="s">
        <v>403</v>
      </c>
      <c r="J10" s="74" t="s">
        <v>402</v>
      </c>
      <c r="K10" s="74" t="s">
        <v>403</v>
      </c>
    </row>
    <row r="11" spans="1:11">
      <c r="A11" s="77">
        <f>0.9*0.6*B7*B5/1000</f>
        <v>875.88864000000012</v>
      </c>
      <c r="D11" s="77" t="e">
        <f>0.9*0.6*E7*E5/1000</f>
        <v>#N/A</v>
      </c>
      <c r="E11" s="74"/>
      <c r="G11" s="77" t="e">
        <f>0.9*0.6*H7*H5/1000</f>
        <v>#N/A</v>
      </c>
      <c r="H11" s="74"/>
      <c r="J11" s="77" t="e">
        <f>0.9*0.6*K7*K5/1000</f>
        <v>#N/A</v>
      </c>
      <c r="K11" s="7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45FA0-9434-4C0E-93B8-D0B845F364C7}">
  <sheetPr codeName="Sheet8"/>
  <dimension ref="A1:BN42"/>
  <sheetViews>
    <sheetView zoomScale="70" zoomScaleNormal="70" workbookViewId="0">
      <selection activeCell="BM32" sqref="BL32:BM32"/>
    </sheetView>
  </sheetViews>
  <sheetFormatPr defaultColWidth="8.88671875" defaultRowHeight="14.4"/>
  <cols>
    <col min="1" max="1" width="22.5546875" style="20" customWidth="1"/>
    <col min="2" max="9" width="9.6640625" style="20" customWidth="1"/>
    <col min="10" max="12" width="8.88671875" style="20"/>
    <col min="13" max="31" width="7.44140625" style="20" customWidth="1"/>
    <col min="32" max="32" width="8.88671875" style="20"/>
    <col min="33" max="33" width="11" style="20" bestFit="1" customWidth="1"/>
    <col min="34" max="34" width="11" style="20" customWidth="1"/>
    <col min="35" max="37" width="8.88671875" style="20"/>
    <col min="38" max="38" width="11" style="20" bestFit="1" customWidth="1"/>
    <col min="39" max="49" width="8.88671875" style="20"/>
    <col min="50" max="50" width="5" style="20" bestFit="1" customWidth="1"/>
    <col min="51" max="51" width="7.109375" style="20" customWidth="1"/>
    <col min="52" max="16384" width="8.88671875" style="20"/>
  </cols>
  <sheetData>
    <row r="1" spans="1:66">
      <c r="A1" s="21">
        <f>COLUMN()</f>
        <v>1</v>
      </c>
      <c r="B1" s="21">
        <f>COLUMN()</f>
        <v>2</v>
      </c>
      <c r="C1" s="21">
        <f>COLUMN()</f>
        <v>3</v>
      </c>
      <c r="D1" s="21">
        <f>COLUMN()</f>
        <v>4</v>
      </c>
      <c r="E1" s="21">
        <f>COLUMN()</f>
        <v>5</v>
      </c>
      <c r="F1" s="21"/>
      <c r="G1" s="21"/>
      <c r="H1" s="21"/>
      <c r="I1" s="21"/>
      <c r="J1" s="21">
        <f>COLUMN()</f>
        <v>10</v>
      </c>
      <c r="K1" s="21">
        <f>COLUMN()</f>
        <v>11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>
        <f>COLUMN()</f>
        <v>38</v>
      </c>
      <c r="AM1" s="21">
        <f>COLUMN()</f>
        <v>39</v>
      </c>
      <c r="AN1" s="21">
        <f>COLUMN()</f>
        <v>40</v>
      </c>
      <c r="AO1" s="21">
        <f>COLUMN()</f>
        <v>41</v>
      </c>
      <c r="AP1" s="21">
        <f>COLUMN()</f>
        <v>42</v>
      </c>
      <c r="AQ1" s="21">
        <f>COLUMN()</f>
        <v>43</v>
      </c>
      <c r="AR1" s="21">
        <f>COLUMN()</f>
        <v>44</v>
      </c>
      <c r="AS1" s="21">
        <f>COLUMN()</f>
        <v>45</v>
      </c>
      <c r="AT1" s="21">
        <f>COLUMN()</f>
        <v>46</v>
      </c>
      <c r="AU1" s="21">
        <f>COLUMN()</f>
        <v>47</v>
      </c>
    </row>
    <row r="2" spans="1:66">
      <c r="A2" s="22"/>
      <c r="B2" s="22"/>
      <c r="C2" s="22"/>
      <c r="D2" s="22"/>
      <c r="E2" s="22"/>
      <c r="F2" s="22"/>
      <c r="G2" s="22"/>
      <c r="H2" s="22"/>
      <c r="I2" s="22"/>
      <c r="J2" s="22" t="s">
        <v>328</v>
      </c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47"/>
      <c r="AM2" s="47"/>
      <c r="AN2" s="47"/>
      <c r="AO2" s="47"/>
      <c r="AP2" s="47"/>
      <c r="AQ2" s="47"/>
      <c r="AR2" s="47"/>
      <c r="AS2" s="22"/>
      <c r="AT2" s="22"/>
      <c r="AU2" s="23"/>
    </row>
    <row r="3" spans="1:66">
      <c r="A3" s="24" t="s">
        <v>7</v>
      </c>
      <c r="B3" s="24"/>
      <c r="C3" s="24"/>
      <c r="D3" s="24"/>
      <c r="E3" s="24"/>
      <c r="F3" s="24"/>
      <c r="G3" s="24"/>
      <c r="H3" s="24"/>
      <c r="I3" s="24"/>
      <c r="J3" s="24"/>
      <c r="K3" s="25" t="s">
        <v>195</v>
      </c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6"/>
      <c r="AQ3" s="25"/>
      <c r="AR3" s="25"/>
      <c r="AS3" s="25"/>
      <c r="AT3" s="25" t="s">
        <v>194</v>
      </c>
      <c r="AU3" s="27" t="s">
        <v>193</v>
      </c>
    </row>
    <row r="4" spans="1:66">
      <c r="A4" s="28"/>
      <c r="B4" s="28"/>
      <c r="C4" s="28"/>
      <c r="D4" s="28"/>
      <c r="E4" s="28"/>
      <c r="F4" s="117" t="s">
        <v>327</v>
      </c>
      <c r="G4" s="118"/>
      <c r="H4" s="117" t="s">
        <v>326</v>
      </c>
      <c r="I4" s="118"/>
      <c r="J4" s="28"/>
      <c r="K4" s="67" t="s">
        <v>192</v>
      </c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119" t="s">
        <v>325</v>
      </c>
      <c r="AK4" s="119"/>
      <c r="AL4" s="119" t="s">
        <v>16</v>
      </c>
      <c r="AM4" s="119"/>
      <c r="AN4" s="119"/>
      <c r="AO4" s="119"/>
      <c r="AP4" s="119" t="s">
        <v>19</v>
      </c>
      <c r="AQ4" s="119"/>
      <c r="AR4" s="119"/>
      <c r="AS4" s="119"/>
      <c r="AT4" s="67" t="s">
        <v>191</v>
      </c>
      <c r="AU4" s="29" t="s">
        <v>191</v>
      </c>
    </row>
    <row r="5" spans="1:66">
      <c r="A5" s="28"/>
      <c r="B5" s="28"/>
      <c r="C5" s="28"/>
      <c r="D5" s="28"/>
      <c r="E5" s="28"/>
      <c r="F5" s="117" t="s">
        <v>324</v>
      </c>
      <c r="G5" s="118"/>
      <c r="H5" s="117" t="s">
        <v>324</v>
      </c>
      <c r="I5" s="118"/>
      <c r="J5" s="28"/>
      <c r="K5" s="67" t="s">
        <v>190</v>
      </c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48" t="s">
        <v>323</v>
      </c>
      <c r="AK5" s="48" t="s">
        <v>322</v>
      </c>
      <c r="AL5" s="67"/>
      <c r="AM5" s="67"/>
      <c r="AN5" s="67"/>
      <c r="AO5" s="67"/>
      <c r="AP5" s="67"/>
      <c r="AQ5" s="67"/>
      <c r="AR5" s="67"/>
      <c r="AS5" s="67"/>
      <c r="AT5" s="67"/>
      <c r="AU5" s="29"/>
      <c r="AV5" s="115" t="s">
        <v>189</v>
      </c>
      <c r="AW5" s="116"/>
      <c r="AX5" s="116"/>
      <c r="AY5" s="116"/>
      <c r="AZ5" s="116"/>
      <c r="BA5" s="116"/>
    </row>
    <row r="6" spans="1:66">
      <c r="A6" s="30" t="s">
        <v>118</v>
      </c>
      <c r="B6" s="31" t="s">
        <v>9</v>
      </c>
      <c r="C6" s="31" t="s">
        <v>10</v>
      </c>
      <c r="D6" s="31" t="s">
        <v>12</v>
      </c>
      <c r="E6" s="31" t="s">
        <v>13</v>
      </c>
      <c r="F6" s="31" t="s">
        <v>321</v>
      </c>
      <c r="G6" s="31" t="s">
        <v>320</v>
      </c>
      <c r="H6" s="31" t="s">
        <v>319</v>
      </c>
      <c r="I6" s="31" t="s">
        <v>318</v>
      </c>
      <c r="J6" s="31" t="s">
        <v>188</v>
      </c>
      <c r="K6" s="32" t="s">
        <v>120</v>
      </c>
      <c r="L6" s="32" t="s">
        <v>317</v>
      </c>
      <c r="M6" s="32" t="s">
        <v>316</v>
      </c>
      <c r="N6" s="32" t="s">
        <v>315</v>
      </c>
      <c r="O6" s="32" t="s">
        <v>314</v>
      </c>
      <c r="P6" s="32" t="s">
        <v>313</v>
      </c>
      <c r="Q6" s="32" t="s">
        <v>312</v>
      </c>
      <c r="R6" s="32" t="s">
        <v>311</v>
      </c>
      <c r="S6" s="32" t="s">
        <v>310</v>
      </c>
      <c r="T6" s="32" t="s">
        <v>309</v>
      </c>
      <c r="U6" s="32" t="s">
        <v>308</v>
      </c>
      <c r="V6" s="32" t="s">
        <v>307</v>
      </c>
      <c r="W6" s="32" t="s">
        <v>306</v>
      </c>
      <c r="X6" s="32" t="s">
        <v>305</v>
      </c>
      <c r="Y6" s="32" t="s">
        <v>304</v>
      </c>
      <c r="Z6" s="32" t="s">
        <v>303</v>
      </c>
      <c r="AA6" s="32" t="s">
        <v>302</v>
      </c>
      <c r="AB6" s="32" t="s">
        <v>301</v>
      </c>
      <c r="AC6" s="32" t="s">
        <v>300</v>
      </c>
      <c r="AD6" s="32" t="s">
        <v>299</v>
      </c>
      <c r="AE6" s="32" t="s">
        <v>298</v>
      </c>
      <c r="AF6" s="32" t="s">
        <v>297</v>
      </c>
      <c r="AG6" s="32" t="s">
        <v>296</v>
      </c>
      <c r="AH6" s="32" t="s">
        <v>295</v>
      </c>
      <c r="AI6" s="32" t="s">
        <v>294</v>
      </c>
      <c r="AJ6" s="32" t="s">
        <v>293</v>
      </c>
      <c r="AK6" s="32" t="s">
        <v>292</v>
      </c>
      <c r="AL6" s="32" t="s">
        <v>121</v>
      </c>
      <c r="AM6" s="32" t="s">
        <v>122</v>
      </c>
      <c r="AN6" s="32" t="s">
        <v>123</v>
      </c>
      <c r="AO6" s="32" t="s">
        <v>124</v>
      </c>
      <c r="AP6" s="32" t="s">
        <v>125</v>
      </c>
      <c r="AQ6" s="32" t="s">
        <v>127</v>
      </c>
      <c r="AR6" s="32" t="s">
        <v>128</v>
      </c>
      <c r="AS6" s="32" t="s">
        <v>129</v>
      </c>
      <c r="AT6" s="32" t="s">
        <v>17</v>
      </c>
      <c r="AU6" s="41" t="s">
        <v>18</v>
      </c>
      <c r="AV6" s="69" t="s">
        <v>186</v>
      </c>
      <c r="AW6" s="69" t="s">
        <v>185</v>
      </c>
      <c r="AX6" s="66" t="s">
        <v>15</v>
      </c>
      <c r="AY6" s="66" t="s">
        <v>291</v>
      </c>
      <c r="AZ6" s="66" t="s">
        <v>131</v>
      </c>
      <c r="BA6" s="66" t="s">
        <v>183</v>
      </c>
      <c r="BB6" s="66" t="s">
        <v>182</v>
      </c>
      <c r="BC6" s="66" t="s">
        <v>130</v>
      </c>
      <c r="BD6" s="66" t="s">
        <v>180</v>
      </c>
      <c r="BE6" s="66" t="s">
        <v>179</v>
      </c>
      <c r="BF6" s="66" t="s">
        <v>178</v>
      </c>
      <c r="BG6" s="66" t="s">
        <v>177</v>
      </c>
      <c r="BH6" s="66" t="s">
        <v>176</v>
      </c>
      <c r="BI6" s="66" t="s">
        <v>175</v>
      </c>
      <c r="BJ6" s="66" t="s">
        <v>174</v>
      </c>
      <c r="BK6" s="66" t="s">
        <v>173</v>
      </c>
      <c r="BN6" s="66" t="s">
        <v>290</v>
      </c>
    </row>
    <row r="7" spans="1:66">
      <c r="A7" s="35" t="s">
        <v>132</v>
      </c>
      <c r="B7" s="35" t="s">
        <v>133</v>
      </c>
      <c r="C7" s="35" t="s">
        <v>133</v>
      </c>
      <c r="D7" s="35" t="s">
        <v>133</v>
      </c>
      <c r="E7" s="35"/>
      <c r="F7" s="35"/>
      <c r="G7" s="35"/>
      <c r="H7" s="35"/>
      <c r="I7" s="35"/>
      <c r="J7" s="35"/>
      <c r="K7" s="65" t="s">
        <v>134</v>
      </c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 t="s">
        <v>133</v>
      </c>
      <c r="AP7" s="65"/>
      <c r="AQ7" s="65"/>
      <c r="AR7" s="65"/>
      <c r="AS7" s="65" t="s">
        <v>133</v>
      </c>
      <c r="AT7" s="65" t="s">
        <v>172</v>
      </c>
      <c r="AU7" s="42" t="s">
        <v>171</v>
      </c>
      <c r="AV7" s="65" t="s">
        <v>115</v>
      </c>
      <c r="AW7" s="65" t="s">
        <v>115</v>
      </c>
      <c r="BK7" s="65" t="s">
        <v>168</v>
      </c>
    </row>
    <row r="8" spans="1:66">
      <c r="A8" s="49" t="s">
        <v>289</v>
      </c>
      <c r="B8" s="20">
        <v>1200</v>
      </c>
      <c r="C8" s="20">
        <v>500</v>
      </c>
      <c r="D8" s="20">
        <v>40</v>
      </c>
      <c r="E8" s="20">
        <v>16</v>
      </c>
      <c r="K8" s="20">
        <v>57900</v>
      </c>
      <c r="L8" s="20">
        <f t="shared" ref="L8:L32" si="0">C8*D8*2+AX8*E8+BK8</f>
        <v>57920</v>
      </c>
      <c r="M8" s="71">
        <f t="shared" ref="M8:M32" si="1">I8*H8</f>
        <v>0</v>
      </c>
      <c r="N8" s="71">
        <f t="shared" ref="N8:N32" si="2">AF8-0.5*H8</f>
        <v>600</v>
      </c>
      <c r="O8" s="71">
        <f t="shared" ref="O8:O32" si="3">I8*H8^3/12</f>
        <v>0</v>
      </c>
      <c r="P8" s="71">
        <f t="shared" ref="P8:P32" si="4">C8*D8</f>
        <v>20000</v>
      </c>
      <c r="Q8" s="71">
        <f t="shared" ref="Q8:Q32" si="5">AF8-H8-0.5*D8</f>
        <v>580</v>
      </c>
      <c r="R8" s="71">
        <f t="shared" ref="R8:R32" si="6">C8*D8^3/12</f>
        <v>2666666.6666666665</v>
      </c>
      <c r="S8" s="71">
        <f t="shared" ref="S8:S32" si="7">(AF8-H8-D8)*E8</f>
        <v>8960</v>
      </c>
      <c r="T8" s="71">
        <f t="shared" ref="T8:T32" si="8">AF8-H8-D8-(AF8-H8-D8)/2</f>
        <v>280</v>
      </c>
      <c r="U8" s="71">
        <f t="shared" ref="U8:U32" si="9">E8*(AF8-H8-D8)^3/12</f>
        <v>234154666.66666666</v>
      </c>
      <c r="V8" s="71">
        <f t="shared" ref="V8:V32" si="10">(AE8-AF8-F8-D8)*E8</f>
        <v>8960</v>
      </c>
      <c r="W8" s="71">
        <f t="shared" ref="W8:W32" si="11">(AE8-AF8-F8-D8)/2</f>
        <v>280</v>
      </c>
      <c r="X8" s="71">
        <f t="shared" ref="X8:X32" si="12">E8*(AE8-AF8-F8-0.5*D8)^3/12</f>
        <v>260149333.33333334</v>
      </c>
      <c r="Y8" s="71">
        <f t="shared" ref="Y8:Y32" si="13">C8*D8</f>
        <v>20000</v>
      </c>
      <c r="Z8" s="71">
        <f t="shared" ref="Z8:Z32" si="14">AE8-AF8-F8-0.5*D8</f>
        <v>580</v>
      </c>
      <c r="AA8" s="71">
        <f t="shared" ref="AA8:AA32" si="15">C8*D8^3/12</f>
        <v>2666666.6666666665</v>
      </c>
      <c r="AB8" s="71">
        <f t="shared" ref="AB8:AB32" si="16">F8*G8</f>
        <v>0</v>
      </c>
      <c r="AC8" s="71">
        <f t="shared" ref="AC8:AC32" si="17">AE8-AF8-0.5*F8</f>
        <v>600</v>
      </c>
      <c r="AD8" s="71">
        <f t="shared" ref="AD8:AD32" si="18">G8*F8^3/12</f>
        <v>0</v>
      </c>
      <c r="AE8" s="71">
        <f t="shared" ref="AE8:AE32" si="19">B8+F8+H8</f>
        <v>1200</v>
      </c>
      <c r="AF8" s="71">
        <f t="shared" ref="AF8:AF32" si="20">(((H8*I8)*0.5*H8)+((C8*D8)*(H8+0.5*D8))+(AX8*E8*(H8+D8+0.5*AX8))+(C8*D8*(H8+D8+AX8+0.5*D8))+(G8*F8*(H8+D8+AX8+D8+0.5*F8)))/(H8*I8+F8*G8+C8*D8*2+E8*AX8)</f>
        <v>600</v>
      </c>
      <c r="AG8" s="71">
        <f t="shared" ref="AG8:AG32" si="21">(O8+M8*N8^2)+(R8+P8*Q8^2)+(U8+S8*T8^2)+(X8+V8*W8^2)+(AA8+Y8*Z8^2)+(AD8+AB8*AC8^2)</f>
        <v>15360565333.333336</v>
      </c>
      <c r="AH8" s="71">
        <f t="shared" ref="AH8:AH32" si="22">AG8/AF8</f>
        <v>25600942.222222228</v>
      </c>
      <c r="AI8" s="71">
        <f t="shared" ref="AI8:AI32" si="23">(M8*N8)+(P8*Q8)+(S8*T8)+(V8*W8)+(Y8*Z8)+(AB8*AC8)</f>
        <v>28217600</v>
      </c>
      <c r="AJ8" s="50">
        <f t="shared" ref="AJ8:AJ32" si="24">AH8/AM8</f>
        <v>1.0000368055555557</v>
      </c>
      <c r="AK8" s="50">
        <f t="shared" ref="AK8:AK32" si="25">AI8/AN8</f>
        <v>1.0006241134751772</v>
      </c>
      <c r="AL8" s="20">
        <v>15300000000</v>
      </c>
      <c r="AM8" s="20">
        <v>25600000</v>
      </c>
      <c r="AN8" s="20">
        <v>28200000</v>
      </c>
      <c r="AO8" s="20">
        <v>515</v>
      </c>
      <c r="AP8" s="20">
        <v>834000000</v>
      </c>
      <c r="AQ8" s="20">
        <v>3330000</v>
      </c>
      <c r="AR8" s="20">
        <v>5070000</v>
      </c>
      <c r="AS8" s="20">
        <v>120</v>
      </c>
      <c r="AT8" s="20">
        <v>22000000</v>
      </c>
      <c r="AU8" s="20">
        <v>280000000000000</v>
      </c>
      <c r="AV8" s="40">
        <f t="shared" ref="AV8:AV32" si="26">0.9*BA8*MIN(1.5*AM8,AN8)/10^6</f>
        <v>7614</v>
      </c>
      <c r="AW8" s="40">
        <f t="shared" ref="AW8:AW32" si="27">0.9*BA8*MIN(1.5*AQ8,AR8)/10^6</f>
        <v>1348.65</v>
      </c>
      <c r="AX8" s="37">
        <f t="shared" ref="AX8:AX32" si="28">B8-2*D8</f>
        <v>1120</v>
      </c>
      <c r="AY8" s="37">
        <f t="shared" ref="AY8:AY32" si="29">(C8-E8)/2</f>
        <v>242</v>
      </c>
      <c r="AZ8" s="38">
        <v>1</v>
      </c>
      <c r="BA8" s="51">
        <v>300</v>
      </c>
      <c r="BB8" s="51">
        <f t="shared" ref="BB8:BB32" si="30">IF(D8&gt;16,325,345)</f>
        <v>325</v>
      </c>
      <c r="BC8" s="18">
        <f t="shared" ref="BC8:BC32" si="31">BJ8/L8</f>
        <v>1</v>
      </c>
      <c r="BD8" s="52">
        <v>115</v>
      </c>
      <c r="BE8" s="52">
        <v>22</v>
      </c>
      <c r="BF8" s="53">
        <f t="shared" ref="BF8:BF32" si="32">AX8/E8*(BA8/250)</f>
        <v>84</v>
      </c>
      <c r="BG8" s="53">
        <f t="shared" ref="BG8:BG32" si="33">AY8/D8*(BB8/250)</f>
        <v>7.8650000000000002</v>
      </c>
      <c r="BH8" s="46">
        <f t="shared" ref="BH8:BH32" si="34">MIN(AX8*(BD8/BF8),AX8)</f>
        <v>1120</v>
      </c>
      <c r="BI8" s="53">
        <f t="shared" ref="BI8:BI32" si="35">MIN(AY8*(BE8/BG8),AY8)</f>
        <v>242</v>
      </c>
      <c r="BJ8" s="20">
        <f t="shared" ref="BJ8:BJ32" si="36">4*(BI8*D8)+(BH8*E8)+2*(D8*E8)+BK8</f>
        <v>57920</v>
      </c>
      <c r="BN8" s="20">
        <v>0.82</v>
      </c>
    </row>
    <row r="9" spans="1:66">
      <c r="A9" s="49" t="s">
        <v>288</v>
      </c>
      <c r="B9" s="20">
        <v>1192</v>
      </c>
      <c r="C9" s="20">
        <v>500</v>
      </c>
      <c r="D9" s="20">
        <v>36</v>
      </c>
      <c r="E9" s="20">
        <v>16</v>
      </c>
      <c r="K9" s="20">
        <v>53900</v>
      </c>
      <c r="L9" s="20">
        <f t="shared" si="0"/>
        <v>53920</v>
      </c>
      <c r="M9" s="71">
        <f t="shared" si="1"/>
        <v>0</v>
      </c>
      <c r="N9" s="71">
        <f t="shared" si="2"/>
        <v>596</v>
      </c>
      <c r="O9" s="71">
        <f t="shared" si="3"/>
        <v>0</v>
      </c>
      <c r="P9" s="71">
        <f t="shared" si="4"/>
        <v>18000</v>
      </c>
      <c r="Q9" s="71">
        <f t="shared" si="5"/>
        <v>578</v>
      </c>
      <c r="R9" s="71">
        <f t="shared" si="6"/>
        <v>1944000</v>
      </c>
      <c r="S9" s="71">
        <f t="shared" si="7"/>
        <v>8960</v>
      </c>
      <c r="T9" s="71">
        <f t="shared" si="8"/>
        <v>280</v>
      </c>
      <c r="U9" s="71">
        <f t="shared" si="9"/>
        <v>234154666.66666666</v>
      </c>
      <c r="V9" s="71">
        <f t="shared" si="10"/>
        <v>8960</v>
      </c>
      <c r="W9" s="71">
        <f t="shared" si="11"/>
        <v>280</v>
      </c>
      <c r="X9" s="71">
        <f t="shared" si="12"/>
        <v>257467402.66666666</v>
      </c>
      <c r="Y9" s="71">
        <f t="shared" si="13"/>
        <v>18000</v>
      </c>
      <c r="Z9" s="71">
        <f t="shared" si="14"/>
        <v>578</v>
      </c>
      <c r="AA9" s="71">
        <f t="shared" si="15"/>
        <v>1944000</v>
      </c>
      <c r="AB9" s="71">
        <f t="shared" si="16"/>
        <v>0</v>
      </c>
      <c r="AC9" s="71">
        <f t="shared" si="17"/>
        <v>596</v>
      </c>
      <c r="AD9" s="71">
        <f t="shared" si="18"/>
        <v>0</v>
      </c>
      <c r="AE9" s="71">
        <f t="shared" si="19"/>
        <v>1192</v>
      </c>
      <c r="AF9" s="71">
        <f t="shared" si="20"/>
        <v>596</v>
      </c>
      <c r="AG9" s="71">
        <f t="shared" si="21"/>
        <v>13927462069.333334</v>
      </c>
      <c r="AH9" s="71">
        <f t="shared" si="22"/>
        <v>23368224.948545862</v>
      </c>
      <c r="AI9" s="71">
        <f t="shared" si="23"/>
        <v>25825600</v>
      </c>
      <c r="AJ9" s="50">
        <f t="shared" si="24"/>
        <v>1.0029281093796507</v>
      </c>
      <c r="AK9" s="50">
        <f t="shared" si="25"/>
        <v>1.0009922480620155</v>
      </c>
      <c r="AL9" s="20">
        <v>13900000000</v>
      </c>
      <c r="AM9" s="20">
        <v>23300000</v>
      </c>
      <c r="AN9" s="20">
        <v>25800000</v>
      </c>
      <c r="AO9" s="20">
        <v>508</v>
      </c>
      <c r="AP9" s="20">
        <v>750000000</v>
      </c>
      <c r="AQ9" s="20">
        <v>3000000</v>
      </c>
      <c r="AR9" s="20">
        <v>4570000</v>
      </c>
      <c r="AS9" s="20">
        <v>118</v>
      </c>
      <c r="AT9" s="20">
        <v>16500000</v>
      </c>
      <c r="AU9" s="20">
        <v>251000000000000</v>
      </c>
      <c r="AV9" s="40">
        <f t="shared" si="26"/>
        <v>8010.9</v>
      </c>
      <c r="AW9" s="40">
        <f t="shared" si="27"/>
        <v>1397.25</v>
      </c>
      <c r="AX9" s="37">
        <f t="shared" si="28"/>
        <v>1120</v>
      </c>
      <c r="AY9" s="37">
        <f t="shared" si="29"/>
        <v>242</v>
      </c>
      <c r="AZ9" s="38">
        <v>1</v>
      </c>
      <c r="BA9" s="51">
        <v>345</v>
      </c>
      <c r="BB9" s="51">
        <f t="shared" si="30"/>
        <v>325</v>
      </c>
      <c r="BC9" s="18">
        <f t="shared" si="31"/>
        <v>1</v>
      </c>
      <c r="BD9" s="52">
        <v>115</v>
      </c>
      <c r="BE9" s="52">
        <v>22</v>
      </c>
      <c r="BF9" s="53">
        <f t="shared" si="32"/>
        <v>96.6</v>
      </c>
      <c r="BG9" s="53">
        <f t="shared" si="33"/>
        <v>8.7388888888888889</v>
      </c>
      <c r="BH9" s="46">
        <f t="shared" si="34"/>
        <v>1120</v>
      </c>
      <c r="BI9" s="53">
        <f t="shared" si="35"/>
        <v>242</v>
      </c>
      <c r="BJ9" s="20">
        <f t="shared" si="36"/>
        <v>53920</v>
      </c>
      <c r="BN9" s="20">
        <v>0.80600000000000005</v>
      </c>
    </row>
    <row r="10" spans="1:66">
      <c r="A10" s="49" t="s">
        <v>287</v>
      </c>
      <c r="B10" s="20">
        <v>1184</v>
      </c>
      <c r="C10" s="20">
        <v>500</v>
      </c>
      <c r="D10" s="20">
        <v>32</v>
      </c>
      <c r="E10" s="20">
        <v>16</v>
      </c>
      <c r="K10" s="20">
        <v>49900</v>
      </c>
      <c r="L10" s="20">
        <f t="shared" si="0"/>
        <v>49920</v>
      </c>
      <c r="M10" s="71">
        <f t="shared" si="1"/>
        <v>0</v>
      </c>
      <c r="N10" s="71">
        <f t="shared" si="2"/>
        <v>592</v>
      </c>
      <c r="O10" s="71">
        <f t="shared" si="3"/>
        <v>0</v>
      </c>
      <c r="P10" s="71">
        <f t="shared" si="4"/>
        <v>16000</v>
      </c>
      <c r="Q10" s="71">
        <f t="shared" si="5"/>
        <v>576</v>
      </c>
      <c r="R10" s="71">
        <f t="shared" si="6"/>
        <v>1365333.3333333333</v>
      </c>
      <c r="S10" s="71">
        <f t="shared" si="7"/>
        <v>8960</v>
      </c>
      <c r="T10" s="71">
        <f t="shared" si="8"/>
        <v>280</v>
      </c>
      <c r="U10" s="71">
        <f t="shared" si="9"/>
        <v>234154666.66666666</v>
      </c>
      <c r="V10" s="71">
        <f t="shared" si="10"/>
        <v>8960</v>
      </c>
      <c r="W10" s="71">
        <f t="shared" si="11"/>
        <v>280</v>
      </c>
      <c r="X10" s="71">
        <f t="shared" si="12"/>
        <v>254803968</v>
      </c>
      <c r="Y10" s="71">
        <f t="shared" si="13"/>
        <v>16000</v>
      </c>
      <c r="Z10" s="71">
        <f t="shared" si="14"/>
        <v>576</v>
      </c>
      <c r="AA10" s="71">
        <f t="shared" si="15"/>
        <v>1365333.3333333333</v>
      </c>
      <c r="AB10" s="71">
        <f t="shared" si="16"/>
        <v>0</v>
      </c>
      <c r="AC10" s="71">
        <f t="shared" si="17"/>
        <v>592</v>
      </c>
      <c r="AD10" s="71">
        <f t="shared" si="18"/>
        <v>0</v>
      </c>
      <c r="AE10" s="71">
        <f t="shared" si="19"/>
        <v>1184</v>
      </c>
      <c r="AF10" s="71">
        <f t="shared" si="20"/>
        <v>592</v>
      </c>
      <c r="AG10" s="71">
        <f t="shared" si="21"/>
        <v>12513449301.333332</v>
      </c>
      <c r="AH10" s="71">
        <f t="shared" si="22"/>
        <v>21137583.279279277</v>
      </c>
      <c r="AI10" s="71">
        <f t="shared" si="23"/>
        <v>23449600</v>
      </c>
      <c r="AJ10" s="50">
        <f t="shared" si="24"/>
        <v>1.0017811980701079</v>
      </c>
      <c r="AK10" s="50">
        <f t="shared" si="25"/>
        <v>1.0021196581196581</v>
      </c>
      <c r="AL10" s="20">
        <v>12500000000</v>
      </c>
      <c r="AM10" s="20">
        <v>21100000</v>
      </c>
      <c r="AN10" s="20">
        <v>23400000</v>
      </c>
      <c r="AO10" s="20">
        <v>500</v>
      </c>
      <c r="AP10" s="20">
        <v>667000000</v>
      </c>
      <c r="AQ10" s="20">
        <v>2670000</v>
      </c>
      <c r="AR10" s="20">
        <v>4070000</v>
      </c>
      <c r="AS10" s="20">
        <v>116</v>
      </c>
      <c r="AT10" s="20">
        <v>12100000</v>
      </c>
      <c r="AU10" s="20">
        <v>221000000000000</v>
      </c>
      <c r="AV10" s="40">
        <f t="shared" si="26"/>
        <v>7265.7</v>
      </c>
      <c r="AW10" s="40">
        <f t="shared" si="27"/>
        <v>1243.5525</v>
      </c>
      <c r="AX10" s="37">
        <f t="shared" si="28"/>
        <v>1120</v>
      </c>
      <c r="AY10" s="37">
        <f t="shared" si="29"/>
        <v>242</v>
      </c>
      <c r="AZ10" s="38">
        <v>1</v>
      </c>
      <c r="BA10" s="51">
        <v>345</v>
      </c>
      <c r="BB10" s="51">
        <f t="shared" si="30"/>
        <v>325</v>
      </c>
      <c r="BC10" s="18">
        <f t="shared" si="31"/>
        <v>1</v>
      </c>
      <c r="BD10" s="52">
        <v>115</v>
      </c>
      <c r="BE10" s="52">
        <v>22</v>
      </c>
      <c r="BF10" s="53">
        <f t="shared" si="32"/>
        <v>96.6</v>
      </c>
      <c r="BG10" s="53">
        <f t="shared" si="33"/>
        <v>9.8312500000000007</v>
      </c>
      <c r="BH10" s="46">
        <f t="shared" si="34"/>
        <v>1120</v>
      </c>
      <c r="BI10" s="53">
        <f t="shared" si="35"/>
        <v>242</v>
      </c>
      <c r="BJ10" s="20">
        <f t="shared" si="36"/>
        <v>49920</v>
      </c>
      <c r="BN10" s="20">
        <v>0.79100000000000004</v>
      </c>
    </row>
    <row r="11" spans="1:66">
      <c r="A11" s="49" t="s">
        <v>286</v>
      </c>
      <c r="B11" s="20">
        <v>1184</v>
      </c>
      <c r="C11" s="20">
        <v>400</v>
      </c>
      <c r="D11" s="20">
        <v>32</v>
      </c>
      <c r="E11" s="20">
        <v>16</v>
      </c>
      <c r="K11" s="20">
        <v>43500</v>
      </c>
      <c r="L11" s="20">
        <f t="shared" si="0"/>
        <v>43520</v>
      </c>
      <c r="M11" s="71">
        <f t="shared" si="1"/>
        <v>0</v>
      </c>
      <c r="N11" s="71">
        <f t="shared" si="2"/>
        <v>592</v>
      </c>
      <c r="O11" s="71">
        <f t="shared" si="3"/>
        <v>0</v>
      </c>
      <c r="P11" s="71">
        <f t="shared" si="4"/>
        <v>12800</v>
      </c>
      <c r="Q11" s="71">
        <f t="shared" si="5"/>
        <v>576</v>
      </c>
      <c r="R11" s="71">
        <f t="shared" si="6"/>
        <v>1092266.6666666667</v>
      </c>
      <c r="S11" s="71">
        <f t="shared" si="7"/>
        <v>8960</v>
      </c>
      <c r="T11" s="71">
        <f t="shared" si="8"/>
        <v>280</v>
      </c>
      <c r="U11" s="71">
        <f t="shared" si="9"/>
        <v>234154666.66666666</v>
      </c>
      <c r="V11" s="71">
        <f t="shared" si="10"/>
        <v>8960</v>
      </c>
      <c r="W11" s="71">
        <f t="shared" si="11"/>
        <v>280</v>
      </c>
      <c r="X11" s="71">
        <f t="shared" si="12"/>
        <v>254803968</v>
      </c>
      <c r="Y11" s="71">
        <f t="shared" si="13"/>
        <v>12800</v>
      </c>
      <c r="Z11" s="71">
        <f t="shared" si="14"/>
        <v>576</v>
      </c>
      <c r="AA11" s="71">
        <f t="shared" si="15"/>
        <v>1092266.6666666667</v>
      </c>
      <c r="AB11" s="71">
        <f t="shared" si="16"/>
        <v>0</v>
      </c>
      <c r="AC11" s="71">
        <f t="shared" si="17"/>
        <v>592</v>
      </c>
      <c r="AD11" s="71">
        <f t="shared" si="18"/>
        <v>0</v>
      </c>
      <c r="AE11" s="71">
        <f t="shared" si="19"/>
        <v>1184</v>
      </c>
      <c r="AF11" s="71">
        <f t="shared" si="20"/>
        <v>592</v>
      </c>
      <c r="AG11" s="71">
        <f t="shared" si="21"/>
        <v>10389536768</v>
      </c>
      <c r="AH11" s="71">
        <f t="shared" si="22"/>
        <v>17549893.189189188</v>
      </c>
      <c r="AI11" s="71">
        <f t="shared" si="23"/>
        <v>19763200</v>
      </c>
      <c r="AJ11" s="50">
        <f t="shared" si="24"/>
        <v>1.0028510393822394</v>
      </c>
      <c r="AK11" s="50">
        <f t="shared" si="25"/>
        <v>0.99814141414141411</v>
      </c>
      <c r="AL11" s="20">
        <v>10400000000</v>
      </c>
      <c r="AM11" s="20">
        <v>17500000</v>
      </c>
      <c r="AN11" s="20">
        <v>19800000</v>
      </c>
      <c r="AO11" s="20">
        <v>488</v>
      </c>
      <c r="AP11" s="20">
        <v>342000000</v>
      </c>
      <c r="AQ11" s="20">
        <v>1710000</v>
      </c>
      <c r="AR11" s="20">
        <v>2630000</v>
      </c>
      <c r="AS11" s="20">
        <v>88.6</v>
      </c>
      <c r="AT11" s="20">
        <v>9960000</v>
      </c>
      <c r="AU11" s="20">
        <v>113000000000000</v>
      </c>
      <c r="AV11" s="40">
        <f t="shared" si="26"/>
        <v>6147.9</v>
      </c>
      <c r="AW11" s="40">
        <f t="shared" si="27"/>
        <v>796.4325</v>
      </c>
      <c r="AX11" s="37">
        <f t="shared" si="28"/>
        <v>1120</v>
      </c>
      <c r="AY11" s="37">
        <f t="shared" si="29"/>
        <v>192</v>
      </c>
      <c r="AZ11" s="38">
        <v>1</v>
      </c>
      <c r="BA11" s="51">
        <v>345</v>
      </c>
      <c r="BB11" s="51">
        <f t="shared" si="30"/>
        <v>325</v>
      </c>
      <c r="BC11" s="18">
        <f t="shared" si="31"/>
        <v>1</v>
      </c>
      <c r="BD11" s="52">
        <v>115</v>
      </c>
      <c r="BE11" s="52">
        <v>22</v>
      </c>
      <c r="BF11" s="53">
        <f t="shared" si="32"/>
        <v>96.6</v>
      </c>
      <c r="BG11" s="53">
        <f t="shared" si="33"/>
        <v>7.8000000000000007</v>
      </c>
      <c r="BH11" s="46">
        <f t="shared" si="34"/>
        <v>1120</v>
      </c>
      <c r="BI11" s="53">
        <f t="shared" si="35"/>
        <v>192</v>
      </c>
      <c r="BJ11" s="20">
        <f t="shared" si="36"/>
        <v>43520</v>
      </c>
      <c r="BN11" s="20">
        <v>0.76</v>
      </c>
    </row>
    <row r="12" spans="1:66">
      <c r="A12" s="49" t="s">
        <v>285</v>
      </c>
      <c r="B12" s="20">
        <v>1176</v>
      </c>
      <c r="C12" s="20">
        <v>400</v>
      </c>
      <c r="D12" s="20">
        <v>28</v>
      </c>
      <c r="E12" s="20">
        <v>16</v>
      </c>
      <c r="K12" s="20">
        <v>40300</v>
      </c>
      <c r="L12" s="20">
        <f t="shared" si="0"/>
        <v>40320</v>
      </c>
      <c r="M12" s="71">
        <f t="shared" si="1"/>
        <v>0</v>
      </c>
      <c r="N12" s="71">
        <f t="shared" si="2"/>
        <v>588</v>
      </c>
      <c r="O12" s="71">
        <f t="shared" si="3"/>
        <v>0</v>
      </c>
      <c r="P12" s="71">
        <f t="shared" si="4"/>
        <v>11200</v>
      </c>
      <c r="Q12" s="71">
        <f t="shared" si="5"/>
        <v>574</v>
      </c>
      <c r="R12" s="71">
        <f t="shared" si="6"/>
        <v>731733.33333333337</v>
      </c>
      <c r="S12" s="71">
        <f t="shared" si="7"/>
        <v>8960</v>
      </c>
      <c r="T12" s="71">
        <f t="shared" si="8"/>
        <v>280</v>
      </c>
      <c r="U12" s="71">
        <f t="shared" si="9"/>
        <v>234154666.66666666</v>
      </c>
      <c r="V12" s="71">
        <f t="shared" si="10"/>
        <v>8960</v>
      </c>
      <c r="W12" s="71">
        <f t="shared" si="11"/>
        <v>280</v>
      </c>
      <c r="X12" s="71">
        <f t="shared" si="12"/>
        <v>252158965.33333334</v>
      </c>
      <c r="Y12" s="71">
        <f t="shared" si="13"/>
        <v>11200</v>
      </c>
      <c r="Z12" s="71">
        <f t="shared" si="14"/>
        <v>574</v>
      </c>
      <c r="AA12" s="71">
        <f t="shared" si="15"/>
        <v>731733.33333333337</v>
      </c>
      <c r="AB12" s="71">
        <f t="shared" si="16"/>
        <v>0</v>
      </c>
      <c r="AC12" s="71">
        <f t="shared" si="17"/>
        <v>588</v>
      </c>
      <c r="AD12" s="71">
        <f t="shared" si="18"/>
        <v>0</v>
      </c>
      <c r="AE12" s="71">
        <f t="shared" si="19"/>
        <v>1176</v>
      </c>
      <c r="AF12" s="71">
        <f t="shared" si="20"/>
        <v>588</v>
      </c>
      <c r="AG12" s="71">
        <f t="shared" si="21"/>
        <v>9272967498.666666</v>
      </c>
      <c r="AH12" s="71">
        <f t="shared" si="22"/>
        <v>15770352.888888888</v>
      </c>
      <c r="AI12" s="71">
        <f t="shared" si="23"/>
        <v>17875200</v>
      </c>
      <c r="AJ12" s="50">
        <f t="shared" si="24"/>
        <v>1.0044810757254068</v>
      </c>
      <c r="AK12" s="50">
        <f t="shared" si="25"/>
        <v>0.99861452513966475</v>
      </c>
      <c r="AL12" s="20">
        <v>9250000000</v>
      </c>
      <c r="AM12" s="20">
        <v>15700000</v>
      </c>
      <c r="AN12" s="20">
        <v>17900000</v>
      </c>
      <c r="AO12" s="20">
        <v>479</v>
      </c>
      <c r="AP12" s="20">
        <v>299000000</v>
      </c>
      <c r="AQ12" s="20">
        <v>1500000</v>
      </c>
      <c r="AR12" s="20">
        <v>2310000</v>
      </c>
      <c r="AS12" s="20">
        <v>86.1</v>
      </c>
      <c r="AT12" s="20">
        <v>7230000</v>
      </c>
      <c r="AU12" s="20">
        <v>98500000000000</v>
      </c>
      <c r="AV12" s="40">
        <f t="shared" si="26"/>
        <v>5557.95</v>
      </c>
      <c r="AW12" s="40">
        <f t="shared" si="27"/>
        <v>698.625</v>
      </c>
      <c r="AX12" s="37">
        <f t="shared" si="28"/>
        <v>1120</v>
      </c>
      <c r="AY12" s="37">
        <f t="shared" si="29"/>
        <v>192</v>
      </c>
      <c r="AZ12" s="38">
        <v>1</v>
      </c>
      <c r="BA12" s="51">
        <v>345</v>
      </c>
      <c r="BB12" s="51">
        <f t="shared" si="30"/>
        <v>325</v>
      </c>
      <c r="BC12" s="18">
        <f t="shared" si="31"/>
        <v>1</v>
      </c>
      <c r="BD12" s="52">
        <v>115</v>
      </c>
      <c r="BE12" s="52">
        <v>22</v>
      </c>
      <c r="BF12" s="53">
        <f t="shared" si="32"/>
        <v>96.6</v>
      </c>
      <c r="BG12" s="53">
        <f t="shared" si="33"/>
        <v>8.9142857142857146</v>
      </c>
      <c r="BH12" s="46">
        <f t="shared" si="34"/>
        <v>1120</v>
      </c>
      <c r="BI12" s="53">
        <f t="shared" si="35"/>
        <v>192</v>
      </c>
      <c r="BJ12" s="20">
        <f t="shared" si="36"/>
        <v>40320</v>
      </c>
      <c r="BN12" s="20">
        <v>0.74099999999999999</v>
      </c>
    </row>
    <row r="13" spans="1:66">
      <c r="A13" s="49" t="s">
        <v>284</v>
      </c>
      <c r="B13" s="20">
        <v>1170</v>
      </c>
      <c r="C13" s="20">
        <v>350</v>
      </c>
      <c r="D13" s="20">
        <v>25</v>
      </c>
      <c r="E13" s="20">
        <v>16</v>
      </c>
      <c r="K13" s="20">
        <v>35400</v>
      </c>
      <c r="L13" s="20">
        <f t="shared" si="0"/>
        <v>35420</v>
      </c>
      <c r="M13" s="71">
        <f t="shared" si="1"/>
        <v>0</v>
      </c>
      <c r="N13" s="71">
        <f t="shared" si="2"/>
        <v>585</v>
      </c>
      <c r="O13" s="71">
        <f t="shared" si="3"/>
        <v>0</v>
      </c>
      <c r="P13" s="71">
        <f t="shared" si="4"/>
        <v>8750</v>
      </c>
      <c r="Q13" s="71">
        <f t="shared" si="5"/>
        <v>572.5</v>
      </c>
      <c r="R13" s="71">
        <f t="shared" si="6"/>
        <v>455729.16666666669</v>
      </c>
      <c r="S13" s="71">
        <f t="shared" si="7"/>
        <v>8960</v>
      </c>
      <c r="T13" s="71">
        <f t="shared" si="8"/>
        <v>280</v>
      </c>
      <c r="U13" s="71">
        <f t="shared" si="9"/>
        <v>234154666.66666666</v>
      </c>
      <c r="V13" s="71">
        <f t="shared" si="10"/>
        <v>8960</v>
      </c>
      <c r="W13" s="71">
        <f t="shared" si="11"/>
        <v>280</v>
      </c>
      <c r="X13" s="71">
        <f t="shared" si="12"/>
        <v>250187270.83333334</v>
      </c>
      <c r="Y13" s="71">
        <f t="shared" si="13"/>
        <v>8750</v>
      </c>
      <c r="Z13" s="71">
        <f t="shared" si="14"/>
        <v>572.5</v>
      </c>
      <c r="AA13" s="71">
        <f t="shared" si="15"/>
        <v>455729.16666666669</v>
      </c>
      <c r="AB13" s="71">
        <f t="shared" si="16"/>
        <v>0</v>
      </c>
      <c r="AC13" s="71">
        <f t="shared" si="17"/>
        <v>585</v>
      </c>
      <c r="AD13" s="71">
        <f t="shared" si="18"/>
        <v>0</v>
      </c>
      <c r="AE13" s="71">
        <f t="shared" si="19"/>
        <v>1170</v>
      </c>
      <c r="AF13" s="71">
        <f t="shared" si="20"/>
        <v>585</v>
      </c>
      <c r="AG13" s="71">
        <f t="shared" si="21"/>
        <v>7625915770.8333321</v>
      </c>
      <c r="AH13" s="71">
        <f t="shared" si="22"/>
        <v>13035753.454415953</v>
      </c>
      <c r="AI13" s="71">
        <f t="shared" si="23"/>
        <v>15036350</v>
      </c>
      <c r="AJ13" s="50">
        <f t="shared" si="24"/>
        <v>1.0027502657243041</v>
      </c>
      <c r="AK13" s="50">
        <f t="shared" si="25"/>
        <v>1.0024233333333334</v>
      </c>
      <c r="AL13" s="20">
        <v>7610000000</v>
      </c>
      <c r="AM13" s="20">
        <v>13000000</v>
      </c>
      <c r="AN13" s="20">
        <v>15000000</v>
      </c>
      <c r="AO13" s="20">
        <v>464</v>
      </c>
      <c r="AP13" s="20">
        <v>179000000</v>
      </c>
      <c r="AQ13" s="20">
        <v>1020000</v>
      </c>
      <c r="AR13" s="20">
        <v>1600000</v>
      </c>
      <c r="AS13" s="20">
        <v>71.099999999999994</v>
      </c>
      <c r="AT13" s="20">
        <v>5090000</v>
      </c>
      <c r="AU13" s="20">
        <v>58700000000000</v>
      </c>
      <c r="AV13" s="40">
        <f t="shared" si="26"/>
        <v>4657.5</v>
      </c>
      <c r="AW13" s="40">
        <f t="shared" si="27"/>
        <v>475.065</v>
      </c>
      <c r="AX13" s="37">
        <f t="shared" si="28"/>
        <v>1120</v>
      </c>
      <c r="AY13" s="37">
        <f t="shared" si="29"/>
        <v>167</v>
      </c>
      <c r="AZ13" s="38">
        <v>1</v>
      </c>
      <c r="BA13" s="51">
        <v>345</v>
      </c>
      <c r="BB13" s="51">
        <f t="shared" si="30"/>
        <v>325</v>
      </c>
      <c r="BC13" s="18">
        <f t="shared" si="31"/>
        <v>1</v>
      </c>
      <c r="BD13" s="52">
        <v>115</v>
      </c>
      <c r="BE13" s="52">
        <v>22</v>
      </c>
      <c r="BF13" s="53">
        <f t="shared" si="32"/>
        <v>96.6</v>
      </c>
      <c r="BG13" s="53">
        <f t="shared" si="33"/>
        <v>8.6839999999999993</v>
      </c>
      <c r="BH13" s="46">
        <f t="shared" si="34"/>
        <v>1120</v>
      </c>
      <c r="BI13" s="53">
        <f t="shared" si="35"/>
        <v>167</v>
      </c>
      <c r="BJ13" s="20">
        <f t="shared" si="36"/>
        <v>35420</v>
      </c>
      <c r="BN13" s="20">
        <v>0.70499999999999996</v>
      </c>
    </row>
    <row r="14" spans="1:66">
      <c r="A14" s="49" t="s">
        <v>283</v>
      </c>
      <c r="B14" s="20">
        <v>1170</v>
      </c>
      <c r="C14" s="20">
        <v>275</v>
      </c>
      <c r="D14" s="20">
        <v>25</v>
      </c>
      <c r="E14" s="20">
        <v>16</v>
      </c>
      <c r="K14" s="20">
        <v>31700</v>
      </c>
      <c r="L14" s="20">
        <f t="shared" si="0"/>
        <v>31670</v>
      </c>
      <c r="M14" s="71">
        <f t="shared" si="1"/>
        <v>0</v>
      </c>
      <c r="N14" s="71">
        <f t="shared" si="2"/>
        <v>585</v>
      </c>
      <c r="O14" s="71">
        <f t="shared" si="3"/>
        <v>0</v>
      </c>
      <c r="P14" s="71">
        <f t="shared" si="4"/>
        <v>6875</v>
      </c>
      <c r="Q14" s="71">
        <f t="shared" si="5"/>
        <v>572.5</v>
      </c>
      <c r="R14" s="71">
        <f t="shared" si="6"/>
        <v>358072.91666666669</v>
      </c>
      <c r="S14" s="71">
        <f t="shared" si="7"/>
        <v>8960</v>
      </c>
      <c r="T14" s="71">
        <f t="shared" si="8"/>
        <v>280</v>
      </c>
      <c r="U14" s="71">
        <f t="shared" si="9"/>
        <v>234154666.66666666</v>
      </c>
      <c r="V14" s="71">
        <f t="shared" si="10"/>
        <v>8960</v>
      </c>
      <c r="W14" s="71">
        <f t="shared" si="11"/>
        <v>280</v>
      </c>
      <c r="X14" s="71">
        <f t="shared" si="12"/>
        <v>250187270.83333334</v>
      </c>
      <c r="Y14" s="71">
        <f t="shared" si="13"/>
        <v>6875</v>
      </c>
      <c r="Z14" s="71">
        <f t="shared" si="14"/>
        <v>572.5</v>
      </c>
      <c r="AA14" s="71">
        <f t="shared" si="15"/>
        <v>358072.91666666669</v>
      </c>
      <c r="AB14" s="71">
        <f t="shared" si="16"/>
        <v>0</v>
      </c>
      <c r="AC14" s="71">
        <f t="shared" si="17"/>
        <v>585</v>
      </c>
      <c r="AD14" s="71">
        <f t="shared" si="18"/>
        <v>0</v>
      </c>
      <c r="AE14" s="71">
        <f t="shared" si="19"/>
        <v>1170</v>
      </c>
      <c r="AF14" s="71">
        <f t="shared" si="20"/>
        <v>585</v>
      </c>
      <c r="AG14" s="71">
        <f t="shared" si="21"/>
        <v>6396634520.833333</v>
      </c>
      <c r="AH14" s="71">
        <f t="shared" si="22"/>
        <v>10934417.984330485</v>
      </c>
      <c r="AI14" s="71">
        <f t="shared" si="23"/>
        <v>12889475</v>
      </c>
      <c r="AJ14" s="50">
        <f t="shared" si="24"/>
        <v>1.0031576132413289</v>
      </c>
      <c r="AK14" s="50">
        <f t="shared" si="25"/>
        <v>0.9991841085271318</v>
      </c>
      <c r="AL14" s="20">
        <v>6380000000</v>
      </c>
      <c r="AM14" s="20">
        <v>10900000</v>
      </c>
      <c r="AN14" s="20">
        <v>12900000</v>
      </c>
      <c r="AO14" s="20">
        <v>449</v>
      </c>
      <c r="AP14" s="20">
        <v>87000000</v>
      </c>
      <c r="AQ14" s="20">
        <v>633000</v>
      </c>
      <c r="AR14" s="20">
        <v>1020000</v>
      </c>
      <c r="AS14" s="20">
        <v>52.4</v>
      </c>
      <c r="AT14" s="20">
        <v>4310000</v>
      </c>
      <c r="AU14" s="20">
        <v>28500000000000</v>
      </c>
      <c r="AV14" s="40">
        <f t="shared" si="26"/>
        <v>4005.45</v>
      </c>
      <c r="AW14" s="40">
        <f t="shared" si="27"/>
        <v>294.81975</v>
      </c>
      <c r="AX14" s="37">
        <f t="shared" si="28"/>
        <v>1120</v>
      </c>
      <c r="AY14" s="37">
        <f t="shared" si="29"/>
        <v>129.5</v>
      </c>
      <c r="AZ14" s="38">
        <v>1</v>
      </c>
      <c r="BA14" s="51">
        <v>345</v>
      </c>
      <c r="BB14" s="51">
        <f t="shared" si="30"/>
        <v>325</v>
      </c>
      <c r="BC14" s="18">
        <f t="shared" si="31"/>
        <v>1</v>
      </c>
      <c r="BD14" s="52">
        <v>115</v>
      </c>
      <c r="BE14" s="52">
        <v>22</v>
      </c>
      <c r="BF14" s="53">
        <f t="shared" si="32"/>
        <v>96.6</v>
      </c>
      <c r="BG14" s="53">
        <f t="shared" si="33"/>
        <v>6.734</v>
      </c>
      <c r="BH14" s="46">
        <f t="shared" si="34"/>
        <v>1120</v>
      </c>
      <c r="BI14" s="53">
        <f t="shared" si="35"/>
        <v>129.5</v>
      </c>
      <c r="BJ14" s="20">
        <f t="shared" si="36"/>
        <v>31670</v>
      </c>
      <c r="BN14" s="20">
        <v>0.67</v>
      </c>
    </row>
    <row r="15" spans="1:66">
      <c r="A15" s="49" t="s">
        <v>282</v>
      </c>
      <c r="B15" s="20">
        <v>1024</v>
      </c>
      <c r="C15" s="20">
        <v>400</v>
      </c>
      <c r="D15" s="20">
        <v>32</v>
      </c>
      <c r="E15" s="20">
        <v>16</v>
      </c>
      <c r="K15" s="20">
        <v>41000</v>
      </c>
      <c r="L15" s="20">
        <f t="shared" si="0"/>
        <v>40960</v>
      </c>
      <c r="M15" s="71">
        <f t="shared" si="1"/>
        <v>0</v>
      </c>
      <c r="N15" s="71">
        <f t="shared" si="2"/>
        <v>512</v>
      </c>
      <c r="O15" s="71">
        <f t="shared" si="3"/>
        <v>0</v>
      </c>
      <c r="P15" s="71">
        <f t="shared" si="4"/>
        <v>12800</v>
      </c>
      <c r="Q15" s="71">
        <f t="shared" si="5"/>
        <v>496</v>
      </c>
      <c r="R15" s="71">
        <f t="shared" si="6"/>
        <v>1092266.6666666667</v>
      </c>
      <c r="S15" s="71">
        <f t="shared" si="7"/>
        <v>7680</v>
      </c>
      <c r="T15" s="71">
        <f t="shared" si="8"/>
        <v>240</v>
      </c>
      <c r="U15" s="71">
        <f t="shared" si="9"/>
        <v>147456000</v>
      </c>
      <c r="V15" s="71">
        <f t="shared" si="10"/>
        <v>7680</v>
      </c>
      <c r="W15" s="71">
        <f t="shared" si="11"/>
        <v>240</v>
      </c>
      <c r="X15" s="71">
        <f t="shared" si="12"/>
        <v>162698581.33333334</v>
      </c>
      <c r="Y15" s="71">
        <f t="shared" si="13"/>
        <v>12800</v>
      </c>
      <c r="Z15" s="71">
        <f t="shared" si="14"/>
        <v>496</v>
      </c>
      <c r="AA15" s="71">
        <f t="shared" si="15"/>
        <v>1092266.6666666667</v>
      </c>
      <c r="AB15" s="71">
        <f t="shared" si="16"/>
        <v>0</v>
      </c>
      <c r="AC15" s="71">
        <f t="shared" si="17"/>
        <v>512</v>
      </c>
      <c r="AD15" s="71">
        <f t="shared" si="18"/>
        <v>0</v>
      </c>
      <c r="AE15" s="71">
        <f t="shared" si="19"/>
        <v>1024</v>
      </c>
      <c r="AF15" s="71">
        <f t="shared" si="20"/>
        <v>512</v>
      </c>
      <c r="AG15" s="71">
        <f t="shared" si="21"/>
        <v>7495084714.666666</v>
      </c>
      <c r="AH15" s="71">
        <f t="shared" si="22"/>
        <v>14638837.333333332</v>
      </c>
      <c r="AI15" s="71">
        <f t="shared" si="23"/>
        <v>16384000</v>
      </c>
      <c r="AJ15" s="50">
        <f t="shared" si="24"/>
        <v>1.0026600913242008</v>
      </c>
      <c r="AK15" s="50">
        <f t="shared" si="25"/>
        <v>0.99902439024390244</v>
      </c>
      <c r="AL15" s="20">
        <v>7480000000</v>
      </c>
      <c r="AM15" s="20">
        <v>14600000</v>
      </c>
      <c r="AN15" s="20">
        <v>16400000</v>
      </c>
      <c r="AO15" s="20">
        <v>427</v>
      </c>
      <c r="AP15" s="20">
        <v>342000000</v>
      </c>
      <c r="AQ15" s="20">
        <v>1710000</v>
      </c>
      <c r="AR15" s="20">
        <v>2620000</v>
      </c>
      <c r="AS15" s="20">
        <v>91.3</v>
      </c>
      <c r="AT15" s="20">
        <v>9740000</v>
      </c>
      <c r="AU15" s="20">
        <v>84100000000000</v>
      </c>
      <c r="AV15" s="40">
        <f t="shared" si="26"/>
        <v>5092.2</v>
      </c>
      <c r="AW15" s="40">
        <f t="shared" si="27"/>
        <v>796.4325</v>
      </c>
      <c r="AX15" s="37">
        <f t="shared" si="28"/>
        <v>960</v>
      </c>
      <c r="AY15" s="37">
        <f t="shared" si="29"/>
        <v>192</v>
      </c>
      <c r="AZ15" s="38">
        <v>1</v>
      </c>
      <c r="BA15" s="51">
        <v>345</v>
      </c>
      <c r="BB15" s="51">
        <f t="shared" si="30"/>
        <v>325</v>
      </c>
      <c r="BC15" s="18">
        <f t="shared" si="31"/>
        <v>1</v>
      </c>
      <c r="BD15" s="52">
        <v>115</v>
      </c>
      <c r="BE15" s="52">
        <v>22</v>
      </c>
      <c r="BF15" s="53">
        <f t="shared" si="32"/>
        <v>82.8</v>
      </c>
      <c r="BG15" s="53">
        <f t="shared" si="33"/>
        <v>7.8000000000000007</v>
      </c>
      <c r="BH15" s="46">
        <f t="shared" si="34"/>
        <v>960</v>
      </c>
      <c r="BI15" s="53">
        <f t="shared" si="35"/>
        <v>192</v>
      </c>
      <c r="BJ15" s="20">
        <f t="shared" si="36"/>
        <v>40960</v>
      </c>
      <c r="BN15" s="20">
        <v>0.80700000000000005</v>
      </c>
    </row>
    <row r="16" spans="1:66">
      <c r="A16" s="49" t="s">
        <v>281</v>
      </c>
      <c r="B16" s="20">
        <v>1016</v>
      </c>
      <c r="C16" s="20">
        <v>400</v>
      </c>
      <c r="D16" s="20">
        <v>28</v>
      </c>
      <c r="E16" s="20">
        <v>16</v>
      </c>
      <c r="K16" s="20">
        <v>37800</v>
      </c>
      <c r="L16" s="20">
        <f t="shared" si="0"/>
        <v>37760</v>
      </c>
      <c r="M16" s="71">
        <f t="shared" si="1"/>
        <v>0</v>
      </c>
      <c r="N16" s="71">
        <f t="shared" si="2"/>
        <v>508</v>
      </c>
      <c r="O16" s="71">
        <f t="shared" si="3"/>
        <v>0</v>
      </c>
      <c r="P16" s="71">
        <f t="shared" si="4"/>
        <v>11200</v>
      </c>
      <c r="Q16" s="71">
        <f t="shared" si="5"/>
        <v>494</v>
      </c>
      <c r="R16" s="71">
        <f t="shared" si="6"/>
        <v>731733.33333333337</v>
      </c>
      <c r="S16" s="71">
        <f t="shared" si="7"/>
        <v>7680</v>
      </c>
      <c r="T16" s="71">
        <f t="shared" si="8"/>
        <v>240</v>
      </c>
      <c r="U16" s="71">
        <f t="shared" si="9"/>
        <v>147456000</v>
      </c>
      <c r="V16" s="71">
        <f t="shared" si="10"/>
        <v>7680</v>
      </c>
      <c r="W16" s="71">
        <f t="shared" si="11"/>
        <v>240</v>
      </c>
      <c r="X16" s="71">
        <f t="shared" si="12"/>
        <v>160738378.66666666</v>
      </c>
      <c r="Y16" s="71">
        <f t="shared" si="13"/>
        <v>11200</v>
      </c>
      <c r="Z16" s="71">
        <f t="shared" si="14"/>
        <v>494</v>
      </c>
      <c r="AA16" s="71">
        <f t="shared" si="15"/>
        <v>731733.33333333337</v>
      </c>
      <c r="AB16" s="71">
        <f t="shared" si="16"/>
        <v>0</v>
      </c>
      <c r="AC16" s="71">
        <f t="shared" si="17"/>
        <v>508</v>
      </c>
      <c r="AD16" s="71">
        <f t="shared" si="18"/>
        <v>0</v>
      </c>
      <c r="AE16" s="71">
        <f t="shared" si="19"/>
        <v>1016</v>
      </c>
      <c r="AF16" s="71">
        <f t="shared" si="20"/>
        <v>508</v>
      </c>
      <c r="AG16" s="71">
        <f t="shared" si="21"/>
        <v>6660800245.333334</v>
      </c>
      <c r="AH16" s="71">
        <f t="shared" si="22"/>
        <v>13111811.506561682</v>
      </c>
      <c r="AI16" s="71">
        <f t="shared" si="23"/>
        <v>14752000</v>
      </c>
      <c r="AJ16" s="50">
        <f t="shared" si="24"/>
        <v>1.0009016417222658</v>
      </c>
      <c r="AK16" s="50">
        <f t="shared" si="25"/>
        <v>0.99675675675675679</v>
      </c>
      <c r="AL16" s="20">
        <v>6650000000</v>
      </c>
      <c r="AM16" s="20">
        <v>13100000</v>
      </c>
      <c r="AN16" s="20">
        <v>14800000</v>
      </c>
      <c r="AO16" s="20">
        <v>420</v>
      </c>
      <c r="AP16" s="20">
        <v>299000000</v>
      </c>
      <c r="AQ16" s="20">
        <v>1490000</v>
      </c>
      <c r="AR16" s="20">
        <v>2300000</v>
      </c>
      <c r="AS16" s="20">
        <v>89</v>
      </c>
      <c r="AT16" s="20">
        <v>7010000</v>
      </c>
      <c r="AU16" s="20">
        <v>73000000000000</v>
      </c>
      <c r="AV16" s="40">
        <f t="shared" si="26"/>
        <v>4595.3999999999996</v>
      </c>
      <c r="AW16" s="40">
        <f t="shared" si="27"/>
        <v>693.96749999999997</v>
      </c>
      <c r="AX16" s="37">
        <f t="shared" si="28"/>
        <v>960</v>
      </c>
      <c r="AY16" s="37">
        <f t="shared" si="29"/>
        <v>192</v>
      </c>
      <c r="AZ16" s="38">
        <v>1</v>
      </c>
      <c r="BA16" s="51">
        <v>345</v>
      </c>
      <c r="BB16" s="51">
        <f t="shared" si="30"/>
        <v>325</v>
      </c>
      <c r="BC16" s="18">
        <f t="shared" si="31"/>
        <v>1</v>
      </c>
      <c r="BD16" s="52">
        <v>115</v>
      </c>
      <c r="BE16" s="52">
        <v>22</v>
      </c>
      <c r="BF16" s="53">
        <f t="shared" si="32"/>
        <v>82.8</v>
      </c>
      <c r="BG16" s="53">
        <f t="shared" si="33"/>
        <v>8.9142857142857146</v>
      </c>
      <c r="BH16" s="46">
        <f t="shared" si="34"/>
        <v>960</v>
      </c>
      <c r="BI16" s="53">
        <f t="shared" si="35"/>
        <v>192</v>
      </c>
      <c r="BJ16" s="20">
        <f t="shared" si="36"/>
        <v>37760</v>
      </c>
      <c r="BN16" s="20">
        <v>0.79100000000000004</v>
      </c>
    </row>
    <row r="17" spans="1:66">
      <c r="A17" s="49" t="s">
        <v>280</v>
      </c>
      <c r="B17" s="20">
        <v>1010</v>
      </c>
      <c r="C17" s="20">
        <v>350</v>
      </c>
      <c r="D17" s="20">
        <v>25</v>
      </c>
      <c r="E17" s="20">
        <v>16</v>
      </c>
      <c r="K17" s="20">
        <v>32900</v>
      </c>
      <c r="L17" s="20">
        <f t="shared" si="0"/>
        <v>32860</v>
      </c>
      <c r="M17" s="71">
        <f t="shared" si="1"/>
        <v>0</v>
      </c>
      <c r="N17" s="71">
        <f t="shared" si="2"/>
        <v>505</v>
      </c>
      <c r="O17" s="71">
        <f t="shared" si="3"/>
        <v>0</v>
      </c>
      <c r="P17" s="71">
        <f t="shared" si="4"/>
        <v>8750</v>
      </c>
      <c r="Q17" s="71">
        <f t="shared" si="5"/>
        <v>492.5</v>
      </c>
      <c r="R17" s="71">
        <f t="shared" si="6"/>
        <v>455729.16666666669</v>
      </c>
      <c r="S17" s="71">
        <f t="shared" si="7"/>
        <v>7680</v>
      </c>
      <c r="T17" s="71">
        <f t="shared" si="8"/>
        <v>240</v>
      </c>
      <c r="U17" s="71">
        <f t="shared" si="9"/>
        <v>147456000</v>
      </c>
      <c r="V17" s="71">
        <f t="shared" si="10"/>
        <v>7680</v>
      </c>
      <c r="W17" s="71">
        <f t="shared" si="11"/>
        <v>240</v>
      </c>
      <c r="X17" s="71">
        <f t="shared" si="12"/>
        <v>159278604.16666666</v>
      </c>
      <c r="Y17" s="71">
        <f t="shared" si="13"/>
        <v>8750</v>
      </c>
      <c r="Z17" s="71">
        <f t="shared" si="14"/>
        <v>492.5</v>
      </c>
      <c r="AA17" s="71">
        <f t="shared" si="15"/>
        <v>455729.16666666669</v>
      </c>
      <c r="AB17" s="71">
        <f t="shared" si="16"/>
        <v>0</v>
      </c>
      <c r="AC17" s="71">
        <f t="shared" si="17"/>
        <v>505</v>
      </c>
      <c r="AD17" s="71">
        <f t="shared" si="18"/>
        <v>0</v>
      </c>
      <c r="AE17" s="71">
        <f t="shared" si="19"/>
        <v>1010</v>
      </c>
      <c r="AF17" s="71">
        <f t="shared" si="20"/>
        <v>505</v>
      </c>
      <c r="AG17" s="71">
        <f t="shared" si="21"/>
        <v>5437116437.5</v>
      </c>
      <c r="AH17" s="71">
        <f t="shared" si="22"/>
        <v>10766567.202970296</v>
      </c>
      <c r="AI17" s="71">
        <f t="shared" si="23"/>
        <v>12305150</v>
      </c>
      <c r="AJ17" s="50">
        <f t="shared" si="24"/>
        <v>1.0062212339224577</v>
      </c>
      <c r="AK17" s="50">
        <f t="shared" si="25"/>
        <v>1.0004186991869919</v>
      </c>
      <c r="AL17" s="20">
        <v>5430000000</v>
      </c>
      <c r="AM17" s="20">
        <v>10700000</v>
      </c>
      <c r="AN17" s="20">
        <v>12300000</v>
      </c>
      <c r="AO17" s="20">
        <v>406</v>
      </c>
      <c r="AP17" s="20">
        <v>179000000</v>
      </c>
      <c r="AQ17" s="20">
        <v>1020000</v>
      </c>
      <c r="AR17" s="20">
        <v>1590000</v>
      </c>
      <c r="AS17" s="20">
        <v>73.8</v>
      </c>
      <c r="AT17" s="20">
        <v>4870000</v>
      </c>
      <c r="AU17" s="20">
        <v>43400000000000</v>
      </c>
      <c r="AV17" s="40">
        <f t="shared" si="26"/>
        <v>3819.15</v>
      </c>
      <c r="AW17" s="40">
        <f t="shared" si="27"/>
        <v>475.065</v>
      </c>
      <c r="AX17" s="37">
        <f t="shared" si="28"/>
        <v>960</v>
      </c>
      <c r="AY17" s="37">
        <f t="shared" si="29"/>
        <v>167</v>
      </c>
      <c r="AZ17" s="38">
        <v>1</v>
      </c>
      <c r="BA17" s="51">
        <v>345</v>
      </c>
      <c r="BB17" s="51">
        <f t="shared" si="30"/>
        <v>325</v>
      </c>
      <c r="BC17" s="18">
        <f t="shared" si="31"/>
        <v>1</v>
      </c>
      <c r="BD17" s="52">
        <v>115</v>
      </c>
      <c r="BE17" s="52">
        <v>22</v>
      </c>
      <c r="BF17" s="53">
        <f t="shared" si="32"/>
        <v>82.8</v>
      </c>
      <c r="BG17" s="53">
        <f t="shared" si="33"/>
        <v>8.6839999999999993</v>
      </c>
      <c r="BH17" s="46">
        <f t="shared" si="34"/>
        <v>960</v>
      </c>
      <c r="BI17" s="53">
        <f t="shared" si="35"/>
        <v>167</v>
      </c>
      <c r="BJ17" s="20">
        <f t="shared" si="36"/>
        <v>32860</v>
      </c>
      <c r="BN17" s="20">
        <v>0.76</v>
      </c>
    </row>
    <row r="18" spans="1:66">
      <c r="A18" s="49" t="s">
        <v>279</v>
      </c>
      <c r="B18" s="20">
        <v>1000</v>
      </c>
      <c r="C18" s="20">
        <v>300</v>
      </c>
      <c r="D18" s="20">
        <v>20</v>
      </c>
      <c r="E18" s="20">
        <v>16</v>
      </c>
      <c r="K18" s="20">
        <v>27400</v>
      </c>
      <c r="L18" s="20">
        <f t="shared" si="0"/>
        <v>27360</v>
      </c>
      <c r="M18" s="71">
        <f t="shared" si="1"/>
        <v>0</v>
      </c>
      <c r="N18" s="71">
        <f t="shared" si="2"/>
        <v>500</v>
      </c>
      <c r="O18" s="71">
        <f t="shared" si="3"/>
        <v>0</v>
      </c>
      <c r="P18" s="71">
        <f t="shared" si="4"/>
        <v>6000</v>
      </c>
      <c r="Q18" s="71">
        <f t="shared" si="5"/>
        <v>490</v>
      </c>
      <c r="R18" s="71">
        <f t="shared" si="6"/>
        <v>200000</v>
      </c>
      <c r="S18" s="71">
        <f t="shared" si="7"/>
        <v>7680</v>
      </c>
      <c r="T18" s="71">
        <f t="shared" si="8"/>
        <v>240</v>
      </c>
      <c r="U18" s="71">
        <f t="shared" si="9"/>
        <v>147456000</v>
      </c>
      <c r="V18" s="71">
        <f t="shared" si="10"/>
        <v>7680</v>
      </c>
      <c r="W18" s="71">
        <f t="shared" si="11"/>
        <v>240</v>
      </c>
      <c r="X18" s="71">
        <f t="shared" si="12"/>
        <v>156865333.33333334</v>
      </c>
      <c r="Y18" s="71">
        <f t="shared" si="13"/>
        <v>6000</v>
      </c>
      <c r="Z18" s="71">
        <f t="shared" si="14"/>
        <v>490</v>
      </c>
      <c r="AA18" s="71">
        <f t="shared" si="15"/>
        <v>200000</v>
      </c>
      <c r="AB18" s="71">
        <f t="shared" si="16"/>
        <v>0</v>
      </c>
      <c r="AC18" s="71">
        <f t="shared" si="17"/>
        <v>500</v>
      </c>
      <c r="AD18" s="71">
        <f t="shared" si="18"/>
        <v>0</v>
      </c>
      <c r="AE18" s="71">
        <f t="shared" si="19"/>
        <v>1000</v>
      </c>
      <c r="AF18" s="71">
        <f t="shared" si="20"/>
        <v>500</v>
      </c>
      <c r="AG18" s="71">
        <f t="shared" si="21"/>
        <v>4070657333.3333335</v>
      </c>
      <c r="AH18" s="71">
        <f t="shared" si="22"/>
        <v>8141314.666666667</v>
      </c>
      <c r="AI18" s="71">
        <f t="shared" si="23"/>
        <v>9566400</v>
      </c>
      <c r="AJ18" s="50">
        <f t="shared" si="24"/>
        <v>1.002624958949097</v>
      </c>
      <c r="AK18" s="50">
        <f t="shared" si="25"/>
        <v>0.99962382445141063</v>
      </c>
      <c r="AL18" s="20">
        <v>4060000000</v>
      </c>
      <c r="AM18" s="20">
        <v>8120000</v>
      </c>
      <c r="AN18" s="20">
        <v>9570000</v>
      </c>
      <c r="AO18" s="20">
        <v>385</v>
      </c>
      <c r="AP18" s="20">
        <v>90300000</v>
      </c>
      <c r="AQ18" s="20">
        <v>602000</v>
      </c>
      <c r="AR18" s="20">
        <v>961000</v>
      </c>
      <c r="AS18" s="20">
        <v>57.5</v>
      </c>
      <c r="AT18" s="20">
        <v>2890000</v>
      </c>
      <c r="AU18" s="20">
        <v>21700000000000</v>
      </c>
      <c r="AV18" s="40">
        <f t="shared" si="26"/>
        <v>2971.4850000000001</v>
      </c>
      <c r="AW18" s="40">
        <f t="shared" si="27"/>
        <v>280.38150000000002</v>
      </c>
      <c r="AX18" s="37">
        <f t="shared" si="28"/>
        <v>960</v>
      </c>
      <c r="AY18" s="37">
        <f t="shared" si="29"/>
        <v>142</v>
      </c>
      <c r="AZ18" s="38">
        <v>1</v>
      </c>
      <c r="BA18" s="51">
        <v>345</v>
      </c>
      <c r="BB18" s="51">
        <f t="shared" si="30"/>
        <v>325</v>
      </c>
      <c r="BC18" s="18">
        <f t="shared" si="31"/>
        <v>1</v>
      </c>
      <c r="BD18" s="52">
        <v>115</v>
      </c>
      <c r="BE18" s="52">
        <v>22</v>
      </c>
      <c r="BF18" s="53">
        <f t="shared" si="32"/>
        <v>82.8</v>
      </c>
      <c r="BG18" s="53">
        <f t="shared" si="33"/>
        <v>9.23</v>
      </c>
      <c r="BH18" s="46">
        <f t="shared" si="34"/>
        <v>960</v>
      </c>
      <c r="BI18" s="53">
        <f t="shared" si="35"/>
        <v>142</v>
      </c>
      <c r="BJ18" s="20">
        <f t="shared" si="36"/>
        <v>27360</v>
      </c>
      <c r="BN18" s="20">
        <v>0.70399999999999996</v>
      </c>
    </row>
    <row r="19" spans="1:66">
      <c r="A19" s="49" t="s">
        <v>278</v>
      </c>
      <c r="B19" s="20">
        <v>924</v>
      </c>
      <c r="C19" s="20">
        <v>400</v>
      </c>
      <c r="D19" s="20">
        <v>32</v>
      </c>
      <c r="E19" s="20">
        <v>12</v>
      </c>
      <c r="K19" s="20">
        <v>35900</v>
      </c>
      <c r="L19" s="20">
        <f t="shared" si="0"/>
        <v>35920</v>
      </c>
      <c r="M19" s="71">
        <f t="shared" si="1"/>
        <v>0</v>
      </c>
      <c r="N19" s="71">
        <f t="shared" si="2"/>
        <v>462</v>
      </c>
      <c r="O19" s="71">
        <f t="shared" si="3"/>
        <v>0</v>
      </c>
      <c r="P19" s="71">
        <f t="shared" si="4"/>
        <v>12800</v>
      </c>
      <c r="Q19" s="71">
        <f t="shared" si="5"/>
        <v>446</v>
      </c>
      <c r="R19" s="71">
        <f t="shared" si="6"/>
        <v>1092266.6666666667</v>
      </c>
      <c r="S19" s="71">
        <f t="shared" si="7"/>
        <v>5160</v>
      </c>
      <c r="T19" s="71">
        <f t="shared" si="8"/>
        <v>215</v>
      </c>
      <c r="U19" s="71">
        <f t="shared" si="9"/>
        <v>79507000</v>
      </c>
      <c r="V19" s="71">
        <f t="shared" si="10"/>
        <v>5160</v>
      </c>
      <c r="W19" s="71">
        <f t="shared" si="11"/>
        <v>215</v>
      </c>
      <c r="X19" s="71">
        <f t="shared" si="12"/>
        <v>88716536</v>
      </c>
      <c r="Y19" s="71">
        <f t="shared" si="13"/>
        <v>12800</v>
      </c>
      <c r="Z19" s="71">
        <f t="shared" si="14"/>
        <v>446</v>
      </c>
      <c r="AA19" s="71">
        <f t="shared" si="15"/>
        <v>1092266.6666666667</v>
      </c>
      <c r="AB19" s="71">
        <f t="shared" si="16"/>
        <v>0</v>
      </c>
      <c r="AC19" s="71">
        <f t="shared" si="17"/>
        <v>462</v>
      </c>
      <c r="AD19" s="71">
        <f t="shared" si="18"/>
        <v>0</v>
      </c>
      <c r="AE19" s="71">
        <f t="shared" si="19"/>
        <v>924</v>
      </c>
      <c r="AF19" s="71">
        <f t="shared" si="20"/>
        <v>462</v>
      </c>
      <c r="AG19" s="71">
        <f t="shared" si="21"/>
        <v>5739699669.333333</v>
      </c>
      <c r="AH19" s="71">
        <f t="shared" si="22"/>
        <v>12423592.357864358</v>
      </c>
      <c r="AI19" s="71">
        <f t="shared" si="23"/>
        <v>13636400</v>
      </c>
      <c r="AJ19" s="50">
        <f t="shared" si="24"/>
        <v>1.0019026095051902</v>
      </c>
      <c r="AK19" s="50">
        <f t="shared" si="25"/>
        <v>1.0026764705882354</v>
      </c>
      <c r="AL19" s="20">
        <v>5730000000</v>
      </c>
      <c r="AM19" s="20">
        <v>12400000</v>
      </c>
      <c r="AN19" s="20">
        <v>13600000</v>
      </c>
      <c r="AO19" s="20">
        <v>399</v>
      </c>
      <c r="AP19" s="20">
        <v>341000000</v>
      </c>
      <c r="AQ19" s="20">
        <v>1710000</v>
      </c>
      <c r="AR19" s="20">
        <v>2590000</v>
      </c>
      <c r="AS19" s="20">
        <v>97.5</v>
      </c>
      <c r="AT19" s="20">
        <v>8870000</v>
      </c>
      <c r="AU19" s="20">
        <v>67900000000000</v>
      </c>
      <c r="AV19" s="40">
        <f t="shared" si="26"/>
        <v>4222.8</v>
      </c>
      <c r="AW19" s="40">
        <f t="shared" si="27"/>
        <v>796.4325</v>
      </c>
      <c r="AX19" s="37">
        <f t="shared" si="28"/>
        <v>860</v>
      </c>
      <c r="AY19" s="37">
        <f t="shared" si="29"/>
        <v>194</v>
      </c>
      <c r="AZ19" s="38">
        <v>1</v>
      </c>
      <c r="BA19" s="51">
        <v>345</v>
      </c>
      <c r="BB19" s="51">
        <f t="shared" si="30"/>
        <v>325</v>
      </c>
      <c r="BC19" s="18">
        <f t="shared" si="31"/>
        <v>1</v>
      </c>
      <c r="BD19" s="52">
        <v>115</v>
      </c>
      <c r="BE19" s="52">
        <v>22</v>
      </c>
      <c r="BF19" s="53">
        <f t="shared" si="32"/>
        <v>98.9</v>
      </c>
      <c r="BG19" s="53">
        <f t="shared" si="33"/>
        <v>7.8812500000000005</v>
      </c>
      <c r="BH19" s="46">
        <f t="shared" si="34"/>
        <v>860</v>
      </c>
      <c r="BI19" s="53">
        <f t="shared" si="35"/>
        <v>194</v>
      </c>
      <c r="BJ19" s="20">
        <f t="shared" si="36"/>
        <v>35920</v>
      </c>
      <c r="BN19" s="20">
        <v>0.83</v>
      </c>
    </row>
    <row r="20" spans="1:66">
      <c r="A20" s="49" t="s">
        <v>277</v>
      </c>
      <c r="B20" s="20">
        <v>916</v>
      </c>
      <c r="C20" s="20">
        <v>400</v>
      </c>
      <c r="D20" s="20">
        <v>28</v>
      </c>
      <c r="E20" s="20">
        <v>12</v>
      </c>
      <c r="K20" s="20">
        <v>32700</v>
      </c>
      <c r="L20" s="20">
        <f t="shared" si="0"/>
        <v>32720</v>
      </c>
      <c r="M20" s="71">
        <f t="shared" si="1"/>
        <v>0</v>
      </c>
      <c r="N20" s="71">
        <f t="shared" si="2"/>
        <v>458</v>
      </c>
      <c r="O20" s="71">
        <f t="shared" si="3"/>
        <v>0</v>
      </c>
      <c r="P20" s="71">
        <f t="shared" si="4"/>
        <v>11200</v>
      </c>
      <c r="Q20" s="71">
        <f t="shared" si="5"/>
        <v>444</v>
      </c>
      <c r="R20" s="71">
        <f t="shared" si="6"/>
        <v>731733.33333333337</v>
      </c>
      <c r="S20" s="71">
        <f t="shared" si="7"/>
        <v>5160</v>
      </c>
      <c r="T20" s="71">
        <f t="shared" si="8"/>
        <v>215</v>
      </c>
      <c r="U20" s="71">
        <f t="shared" si="9"/>
        <v>79507000</v>
      </c>
      <c r="V20" s="71">
        <f t="shared" si="10"/>
        <v>5160</v>
      </c>
      <c r="W20" s="71">
        <f t="shared" si="11"/>
        <v>215</v>
      </c>
      <c r="X20" s="71">
        <f t="shared" si="12"/>
        <v>87528384</v>
      </c>
      <c r="Y20" s="71">
        <f t="shared" si="13"/>
        <v>11200</v>
      </c>
      <c r="Z20" s="71">
        <f t="shared" si="14"/>
        <v>444</v>
      </c>
      <c r="AA20" s="71">
        <f t="shared" si="15"/>
        <v>731733.33333333337</v>
      </c>
      <c r="AB20" s="71">
        <f t="shared" si="16"/>
        <v>0</v>
      </c>
      <c r="AC20" s="71">
        <f t="shared" si="17"/>
        <v>458</v>
      </c>
      <c r="AD20" s="71">
        <f t="shared" si="18"/>
        <v>0</v>
      </c>
      <c r="AE20" s="71">
        <f t="shared" si="19"/>
        <v>916</v>
      </c>
      <c r="AF20" s="71">
        <f t="shared" si="20"/>
        <v>458</v>
      </c>
      <c r="AG20" s="71">
        <f t="shared" si="21"/>
        <v>5061387250.666667</v>
      </c>
      <c r="AH20" s="71">
        <f t="shared" si="22"/>
        <v>11051063.866084427</v>
      </c>
      <c r="AI20" s="71">
        <f t="shared" si="23"/>
        <v>12164400</v>
      </c>
      <c r="AJ20" s="50">
        <f t="shared" si="24"/>
        <v>1.0046421696440389</v>
      </c>
      <c r="AK20" s="50">
        <f t="shared" si="25"/>
        <v>0.99708196721311471</v>
      </c>
      <c r="AL20" s="20">
        <v>5050000000</v>
      </c>
      <c r="AM20" s="20">
        <v>11000000</v>
      </c>
      <c r="AN20" s="20">
        <v>12200000</v>
      </c>
      <c r="AO20" s="20">
        <v>393</v>
      </c>
      <c r="AP20" s="20">
        <v>299000000</v>
      </c>
      <c r="AQ20" s="20">
        <v>1490000</v>
      </c>
      <c r="AR20" s="20">
        <v>2270000</v>
      </c>
      <c r="AS20" s="20">
        <v>95.6</v>
      </c>
      <c r="AT20" s="20">
        <v>6150000</v>
      </c>
      <c r="AU20" s="20">
        <v>58900000000000</v>
      </c>
      <c r="AV20" s="40">
        <f t="shared" si="26"/>
        <v>3788.1</v>
      </c>
      <c r="AW20" s="40">
        <f t="shared" si="27"/>
        <v>693.96749999999997</v>
      </c>
      <c r="AX20" s="37">
        <f t="shared" si="28"/>
        <v>860</v>
      </c>
      <c r="AY20" s="37">
        <f t="shared" si="29"/>
        <v>194</v>
      </c>
      <c r="AZ20" s="38">
        <v>1</v>
      </c>
      <c r="BA20" s="51">
        <v>345</v>
      </c>
      <c r="BB20" s="51">
        <f t="shared" si="30"/>
        <v>325</v>
      </c>
      <c r="BC20" s="18">
        <f t="shared" si="31"/>
        <v>1</v>
      </c>
      <c r="BD20" s="52">
        <v>115</v>
      </c>
      <c r="BE20" s="52">
        <v>22</v>
      </c>
      <c r="BF20" s="53">
        <f t="shared" si="32"/>
        <v>98.9</v>
      </c>
      <c r="BG20" s="53">
        <f t="shared" si="33"/>
        <v>9.007142857142858</v>
      </c>
      <c r="BH20" s="46">
        <f t="shared" si="34"/>
        <v>860</v>
      </c>
      <c r="BI20" s="53">
        <f t="shared" si="35"/>
        <v>194</v>
      </c>
      <c r="BJ20" s="20">
        <f t="shared" si="36"/>
        <v>32720</v>
      </c>
      <c r="BN20" s="20">
        <v>0.81299999999999994</v>
      </c>
    </row>
    <row r="21" spans="1:66">
      <c r="A21" s="49" t="s">
        <v>276</v>
      </c>
      <c r="B21" s="20">
        <v>910</v>
      </c>
      <c r="C21" s="20">
        <v>350</v>
      </c>
      <c r="D21" s="20">
        <v>25</v>
      </c>
      <c r="E21" s="20">
        <v>12</v>
      </c>
      <c r="K21" s="20">
        <v>27800</v>
      </c>
      <c r="L21" s="20">
        <f t="shared" si="0"/>
        <v>27820</v>
      </c>
      <c r="M21" s="71">
        <f t="shared" si="1"/>
        <v>0</v>
      </c>
      <c r="N21" s="71">
        <f t="shared" si="2"/>
        <v>455</v>
      </c>
      <c r="O21" s="71">
        <f t="shared" si="3"/>
        <v>0</v>
      </c>
      <c r="P21" s="71">
        <f t="shared" si="4"/>
        <v>8750</v>
      </c>
      <c r="Q21" s="71">
        <f t="shared" si="5"/>
        <v>442.5</v>
      </c>
      <c r="R21" s="71">
        <f t="shared" si="6"/>
        <v>455729.16666666669</v>
      </c>
      <c r="S21" s="71">
        <f t="shared" si="7"/>
        <v>5160</v>
      </c>
      <c r="T21" s="71">
        <f t="shared" si="8"/>
        <v>215</v>
      </c>
      <c r="U21" s="71">
        <f t="shared" si="9"/>
        <v>79507000</v>
      </c>
      <c r="V21" s="71">
        <f t="shared" si="10"/>
        <v>5160</v>
      </c>
      <c r="W21" s="71">
        <f t="shared" si="11"/>
        <v>215</v>
      </c>
      <c r="X21" s="71">
        <f t="shared" si="12"/>
        <v>86644265.625</v>
      </c>
      <c r="Y21" s="71">
        <f t="shared" si="13"/>
        <v>8750</v>
      </c>
      <c r="Z21" s="71">
        <f t="shared" si="14"/>
        <v>442.5</v>
      </c>
      <c r="AA21" s="71">
        <f t="shared" si="15"/>
        <v>455729.16666666669</v>
      </c>
      <c r="AB21" s="71">
        <f t="shared" si="16"/>
        <v>0</v>
      </c>
      <c r="AC21" s="71">
        <f t="shared" si="17"/>
        <v>455</v>
      </c>
      <c r="AD21" s="71">
        <f t="shared" si="18"/>
        <v>0</v>
      </c>
      <c r="AE21" s="71">
        <f t="shared" si="19"/>
        <v>910</v>
      </c>
      <c r="AF21" s="71">
        <f t="shared" si="20"/>
        <v>455</v>
      </c>
      <c r="AG21" s="71">
        <f t="shared" si="21"/>
        <v>4070714098.958334</v>
      </c>
      <c r="AH21" s="71">
        <f t="shared" si="22"/>
        <v>8946624.3933150191</v>
      </c>
      <c r="AI21" s="71">
        <f t="shared" si="23"/>
        <v>9962550</v>
      </c>
      <c r="AJ21" s="50">
        <f t="shared" si="24"/>
        <v>1.0018616341898117</v>
      </c>
      <c r="AK21" s="50">
        <f t="shared" si="25"/>
        <v>1.0002560240963856</v>
      </c>
      <c r="AL21" s="20">
        <v>4060000000</v>
      </c>
      <c r="AM21" s="20">
        <v>8930000</v>
      </c>
      <c r="AN21" s="20">
        <v>9960000</v>
      </c>
      <c r="AO21" s="20">
        <v>382</v>
      </c>
      <c r="AP21" s="20">
        <v>179000000</v>
      </c>
      <c r="AQ21" s="20">
        <v>1020000</v>
      </c>
      <c r="AR21" s="20">
        <v>1560000</v>
      </c>
      <c r="AS21" s="20">
        <v>80.2</v>
      </c>
      <c r="AT21" s="20">
        <v>4020000</v>
      </c>
      <c r="AU21" s="20">
        <v>35000000000000</v>
      </c>
      <c r="AV21" s="40">
        <f t="shared" si="26"/>
        <v>3092.58</v>
      </c>
      <c r="AW21" s="40">
        <f t="shared" si="27"/>
        <v>475.065</v>
      </c>
      <c r="AX21" s="37">
        <f t="shared" si="28"/>
        <v>860</v>
      </c>
      <c r="AY21" s="37">
        <f t="shared" si="29"/>
        <v>169</v>
      </c>
      <c r="AZ21" s="38">
        <v>1</v>
      </c>
      <c r="BA21" s="51">
        <v>345</v>
      </c>
      <c r="BB21" s="51">
        <f t="shared" si="30"/>
        <v>325</v>
      </c>
      <c r="BC21" s="18">
        <f t="shared" si="31"/>
        <v>1</v>
      </c>
      <c r="BD21" s="52">
        <v>115</v>
      </c>
      <c r="BE21" s="52">
        <v>22</v>
      </c>
      <c r="BF21" s="53">
        <f t="shared" si="32"/>
        <v>98.9</v>
      </c>
      <c r="BG21" s="53">
        <f t="shared" si="33"/>
        <v>8.7880000000000003</v>
      </c>
      <c r="BH21" s="46">
        <f t="shared" si="34"/>
        <v>860</v>
      </c>
      <c r="BI21" s="53">
        <f t="shared" si="35"/>
        <v>169</v>
      </c>
      <c r="BJ21" s="20">
        <f t="shared" si="36"/>
        <v>27820</v>
      </c>
      <c r="BN21" s="20">
        <v>0.78</v>
      </c>
    </row>
    <row r="22" spans="1:66">
      <c r="A22" s="49" t="s">
        <v>275</v>
      </c>
      <c r="B22" s="20">
        <v>900</v>
      </c>
      <c r="C22" s="20">
        <v>300</v>
      </c>
      <c r="D22" s="20">
        <v>20</v>
      </c>
      <c r="E22" s="20">
        <v>12</v>
      </c>
      <c r="K22" s="20">
        <v>22300</v>
      </c>
      <c r="L22" s="20">
        <f t="shared" si="0"/>
        <v>22320</v>
      </c>
      <c r="M22" s="71">
        <f t="shared" si="1"/>
        <v>0</v>
      </c>
      <c r="N22" s="71">
        <f t="shared" si="2"/>
        <v>450</v>
      </c>
      <c r="O22" s="71">
        <f t="shared" si="3"/>
        <v>0</v>
      </c>
      <c r="P22" s="71">
        <f t="shared" si="4"/>
        <v>6000</v>
      </c>
      <c r="Q22" s="71">
        <f t="shared" si="5"/>
        <v>440</v>
      </c>
      <c r="R22" s="71">
        <f t="shared" si="6"/>
        <v>200000</v>
      </c>
      <c r="S22" s="71">
        <f t="shared" si="7"/>
        <v>5160</v>
      </c>
      <c r="T22" s="71">
        <f t="shared" si="8"/>
        <v>215</v>
      </c>
      <c r="U22" s="71">
        <f t="shared" si="9"/>
        <v>79507000</v>
      </c>
      <c r="V22" s="71">
        <f t="shared" si="10"/>
        <v>5160</v>
      </c>
      <c r="W22" s="71">
        <f t="shared" si="11"/>
        <v>215</v>
      </c>
      <c r="X22" s="71">
        <f t="shared" si="12"/>
        <v>85184000</v>
      </c>
      <c r="Y22" s="71">
        <f t="shared" si="13"/>
        <v>6000</v>
      </c>
      <c r="Z22" s="71">
        <f t="shared" si="14"/>
        <v>440</v>
      </c>
      <c r="AA22" s="71">
        <f t="shared" si="15"/>
        <v>200000</v>
      </c>
      <c r="AB22" s="71">
        <f t="shared" si="16"/>
        <v>0</v>
      </c>
      <c r="AC22" s="71">
        <f t="shared" si="17"/>
        <v>450</v>
      </c>
      <c r="AD22" s="71">
        <f t="shared" si="18"/>
        <v>0</v>
      </c>
      <c r="AE22" s="71">
        <f t="shared" si="19"/>
        <v>900</v>
      </c>
      <c r="AF22" s="71">
        <f t="shared" si="20"/>
        <v>450</v>
      </c>
      <c r="AG22" s="71">
        <f t="shared" si="21"/>
        <v>2965333000</v>
      </c>
      <c r="AH22" s="71">
        <f t="shared" si="22"/>
        <v>6589628.888888889</v>
      </c>
      <c r="AI22" s="71">
        <f t="shared" si="23"/>
        <v>7498800</v>
      </c>
      <c r="AJ22" s="50">
        <f t="shared" si="24"/>
        <v>1.0014633569739952</v>
      </c>
      <c r="AK22" s="50">
        <f t="shared" si="25"/>
        <v>0.99983999999999995</v>
      </c>
      <c r="AL22" s="20">
        <v>2960000000</v>
      </c>
      <c r="AM22" s="20">
        <v>6580000</v>
      </c>
      <c r="AN22" s="20">
        <v>7500000</v>
      </c>
      <c r="AO22" s="20">
        <v>364</v>
      </c>
      <c r="AP22" s="20">
        <v>90100000</v>
      </c>
      <c r="AQ22" s="20">
        <v>601000</v>
      </c>
      <c r="AR22" s="20">
        <v>931000</v>
      </c>
      <c r="AS22" s="20">
        <v>63.5</v>
      </c>
      <c r="AT22" s="20">
        <v>2060000</v>
      </c>
      <c r="AU22" s="20">
        <v>17400000000000</v>
      </c>
      <c r="AV22" s="40">
        <f t="shared" si="26"/>
        <v>2328.75</v>
      </c>
      <c r="AW22" s="40">
        <f t="shared" si="27"/>
        <v>279.91575</v>
      </c>
      <c r="AX22" s="37">
        <f t="shared" si="28"/>
        <v>860</v>
      </c>
      <c r="AY22" s="37">
        <f t="shared" si="29"/>
        <v>144</v>
      </c>
      <c r="AZ22" s="38">
        <v>1</v>
      </c>
      <c r="BA22" s="51">
        <v>345</v>
      </c>
      <c r="BB22" s="51">
        <f t="shared" si="30"/>
        <v>325</v>
      </c>
      <c r="BC22" s="18">
        <f t="shared" si="31"/>
        <v>1</v>
      </c>
      <c r="BD22" s="52">
        <v>115</v>
      </c>
      <c r="BE22" s="52">
        <v>22</v>
      </c>
      <c r="BF22" s="53">
        <f t="shared" si="32"/>
        <v>98.9</v>
      </c>
      <c r="BG22" s="53">
        <f t="shared" si="33"/>
        <v>9.3600000000000012</v>
      </c>
      <c r="BH22" s="46">
        <f t="shared" si="34"/>
        <v>860</v>
      </c>
      <c r="BI22" s="53">
        <f t="shared" si="35"/>
        <v>144</v>
      </c>
      <c r="BJ22" s="20">
        <f t="shared" si="36"/>
        <v>22320</v>
      </c>
      <c r="BN22" s="20">
        <v>0.72099999999999997</v>
      </c>
    </row>
    <row r="23" spans="1:66">
      <c r="A23" s="49" t="s">
        <v>274</v>
      </c>
      <c r="B23" s="20">
        <v>900</v>
      </c>
      <c r="C23" s="20">
        <v>300</v>
      </c>
      <c r="D23" s="20">
        <v>20</v>
      </c>
      <c r="E23" s="20">
        <v>12</v>
      </c>
      <c r="H23" s="20">
        <v>10</v>
      </c>
      <c r="I23" s="20">
        <v>150</v>
      </c>
      <c r="K23" s="20">
        <v>22300</v>
      </c>
      <c r="L23" s="20">
        <f t="shared" si="0"/>
        <v>22320</v>
      </c>
      <c r="M23" s="71">
        <f t="shared" si="1"/>
        <v>1500</v>
      </c>
      <c r="N23" s="71">
        <f t="shared" si="2"/>
        <v>426.34760705289671</v>
      </c>
      <c r="O23" s="71">
        <f t="shared" si="3"/>
        <v>12500</v>
      </c>
      <c r="P23" s="71">
        <f t="shared" si="4"/>
        <v>6000</v>
      </c>
      <c r="Q23" s="71">
        <f t="shared" si="5"/>
        <v>411.34760705289671</v>
      </c>
      <c r="R23" s="71">
        <f t="shared" si="6"/>
        <v>200000</v>
      </c>
      <c r="S23" s="71">
        <f t="shared" si="7"/>
        <v>4816.17128463476</v>
      </c>
      <c r="T23" s="71">
        <f t="shared" si="8"/>
        <v>200.67380352644835</v>
      </c>
      <c r="U23" s="71">
        <f t="shared" si="9"/>
        <v>64649033.086427979</v>
      </c>
      <c r="V23" s="71">
        <f t="shared" si="10"/>
        <v>5503.82871536524</v>
      </c>
      <c r="W23" s="71">
        <f t="shared" si="11"/>
        <v>229.32619647355165</v>
      </c>
      <c r="X23" s="71">
        <f t="shared" si="12"/>
        <v>102932498.98185493</v>
      </c>
      <c r="Y23" s="71">
        <f t="shared" si="13"/>
        <v>6000</v>
      </c>
      <c r="Z23" s="71">
        <f t="shared" si="14"/>
        <v>468.65239294710329</v>
      </c>
      <c r="AA23" s="71">
        <f t="shared" si="15"/>
        <v>200000</v>
      </c>
      <c r="AB23" s="71">
        <f t="shared" si="16"/>
        <v>0</v>
      </c>
      <c r="AC23" s="71">
        <f t="shared" si="17"/>
        <v>478.65239294710329</v>
      </c>
      <c r="AD23" s="71">
        <f t="shared" si="18"/>
        <v>0</v>
      </c>
      <c r="AE23" s="71">
        <f t="shared" si="19"/>
        <v>910</v>
      </c>
      <c r="AF23" s="71">
        <f t="shared" si="20"/>
        <v>431.34760705289671</v>
      </c>
      <c r="AG23" s="71">
        <f t="shared" si="21"/>
        <v>3257100198.0581694</v>
      </c>
      <c r="AH23" s="71">
        <f t="shared" si="22"/>
        <v>7550987.0573102469</v>
      </c>
      <c r="AI23" s="71">
        <f t="shared" si="23"/>
        <v>8148172.9260384869</v>
      </c>
      <c r="AJ23" s="50">
        <f t="shared" si="24"/>
        <v>1</v>
      </c>
      <c r="AK23" s="50">
        <f t="shared" si="25"/>
        <v>1</v>
      </c>
      <c r="AL23" s="20">
        <v>2960000000</v>
      </c>
      <c r="AM23" s="43">
        <f>AH23</f>
        <v>7550987.0573102469</v>
      </c>
      <c r="AN23" s="43">
        <f>AI23</f>
        <v>8148172.9260384869</v>
      </c>
      <c r="AO23" s="20">
        <v>364</v>
      </c>
      <c r="AP23" s="20">
        <v>90100000</v>
      </c>
      <c r="AQ23" s="20">
        <v>601000</v>
      </c>
      <c r="AR23" s="20">
        <v>931000</v>
      </c>
      <c r="AS23" s="20">
        <v>63.5</v>
      </c>
      <c r="AT23" s="20">
        <v>2060000</v>
      </c>
      <c r="AU23" s="20">
        <v>17400000000000</v>
      </c>
      <c r="AV23" s="40">
        <f t="shared" si="26"/>
        <v>2530.0076935349502</v>
      </c>
      <c r="AW23" s="40">
        <f t="shared" si="27"/>
        <v>279.91575</v>
      </c>
      <c r="AX23" s="37">
        <f t="shared" si="28"/>
        <v>860</v>
      </c>
      <c r="AY23" s="37">
        <f t="shared" si="29"/>
        <v>144</v>
      </c>
      <c r="AZ23" s="38">
        <v>1</v>
      </c>
      <c r="BA23" s="51">
        <v>345</v>
      </c>
      <c r="BB23" s="51">
        <f t="shared" si="30"/>
        <v>325</v>
      </c>
      <c r="BC23" s="18">
        <f t="shared" si="31"/>
        <v>1</v>
      </c>
      <c r="BD23" s="52">
        <v>115</v>
      </c>
      <c r="BE23" s="52">
        <v>22</v>
      </c>
      <c r="BF23" s="53">
        <f t="shared" si="32"/>
        <v>98.9</v>
      </c>
      <c r="BG23" s="53">
        <f t="shared" si="33"/>
        <v>9.3600000000000012</v>
      </c>
      <c r="BH23" s="46">
        <f t="shared" si="34"/>
        <v>860</v>
      </c>
      <c r="BI23" s="53">
        <f t="shared" si="35"/>
        <v>144</v>
      </c>
      <c r="BJ23" s="20">
        <f t="shared" si="36"/>
        <v>22320</v>
      </c>
      <c r="BN23" s="20">
        <v>0.72099999999999997</v>
      </c>
    </row>
    <row r="24" spans="1:66">
      <c r="A24" s="49" t="s">
        <v>273</v>
      </c>
      <c r="B24" s="20">
        <v>816</v>
      </c>
      <c r="C24" s="20">
        <v>300</v>
      </c>
      <c r="D24" s="20">
        <v>28</v>
      </c>
      <c r="E24" s="20">
        <v>10</v>
      </c>
      <c r="K24" s="20">
        <v>24400</v>
      </c>
      <c r="L24" s="20">
        <f t="shared" si="0"/>
        <v>24400</v>
      </c>
      <c r="M24" s="71">
        <f t="shared" si="1"/>
        <v>0</v>
      </c>
      <c r="N24" s="71">
        <f t="shared" si="2"/>
        <v>408</v>
      </c>
      <c r="O24" s="71">
        <f t="shared" si="3"/>
        <v>0</v>
      </c>
      <c r="P24" s="71">
        <f t="shared" si="4"/>
        <v>8400</v>
      </c>
      <c r="Q24" s="71">
        <f t="shared" si="5"/>
        <v>394</v>
      </c>
      <c r="R24" s="71">
        <f t="shared" si="6"/>
        <v>548800</v>
      </c>
      <c r="S24" s="71">
        <f t="shared" si="7"/>
        <v>3800</v>
      </c>
      <c r="T24" s="71">
        <f t="shared" si="8"/>
        <v>190</v>
      </c>
      <c r="U24" s="71">
        <f t="shared" si="9"/>
        <v>45726666.666666664</v>
      </c>
      <c r="V24" s="71">
        <f t="shared" si="10"/>
        <v>3800</v>
      </c>
      <c r="W24" s="71">
        <f t="shared" si="11"/>
        <v>190</v>
      </c>
      <c r="X24" s="71">
        <f t="shared" si="12"/>
        <v>50969153.333333336</v>
      </c>
      <c r="Y24" s="71">
        <f t="shared" si="13"/>
        <v>8400</v>
      </c>
      <c r="Z24" s="71">
        <f t="shared" si="14"/>
        <v>394</v>
      </c>
      <c r="AA24" s="71">
        <f t="shared" si="15"/>
        <v>548800</v>
      </c>
      <c r="AB24" s="71">
        <f t="shared" si="16"/>
        <v>0</v>
      </c>
      <c r="AC24" s="71">
        <f t="shared" si="17"/>
        <v>408</v>
      </c>
      <c r="AD24" s="71">
        <f t="shared" si="18"/>
        <v>0</v>
      </c>
      <c r="AE24" s="71">
        <f t="shared" si="19"/>
        <v>816</v>
      </c>
      <c r="AF24" s="71">
        <f t="shared" si="20"/>
        <v>408</v>
      </c>
      <c r="AG24" s="71">
        <f t="shared" si="21"/>
        <v>2980118220</v>
      </c>
      <c r="AH24" s="71">
        <f t="shared" si="22"/>
        <v>7304211.323529412</v>
      </c>
      <c r="AI24" s="71">
        <f t="shared" si="23"/>
        <v>8063200</v>
      </c>
      <c r="AJ24" s="50">
        <f t="shared" si="24"/>
        <v>1.0019494270959413</v>
      </c>
      <c r="AK24" s="50">
        <f t="shared" si="25"/>
        <v>1.0003970223325063</v>
      </c>
      <c r="AL24" s="20">
        <v>2970000000</v>
      </c>
      <c r="AM24" s="20">
        <v>7290000</v>
      </c>
      <c r="AN24" s="20">
        <v>8060000</v>
      </c>
      <c r="AO24" s="20">
        <v>349</v>
      </c>
      <c r="AP24" s="20">
        <v>126000000</v>
      </c>
      <c r="AQ24" s="20">
        <v>840000</v>
      </c>
      <c r="AR24" s="20">
        <v>1280000</v>
      </c>
      <c r="AS24" s="20">
        <v>71.900000000000006</v>
      </c>
      <c r="AT24" s="20">
        <v>4420000</v>
      </c>
      <c r="AU24" s="20">
        <v>19600000000000</v>
      </c>
      <c r="AV24" s="40">
        <f t="shared" si="26"/>
        <v>2502.63</v>
      </c>
      <c r="AW24" s="40">
        <f t="shared" si="27"/>
        <v>391.23</v>
      </c>
      <c r="AX24" s="37">
        <f t="shared" si="28"/>
        <v>760</v>
      </c>
      <c r="AY24" s="37">
        <f t="shared" si="29"/>
        <v>145</v>
      </c>
      <c r="AZ24" s="38">
        <v>1</v>
      </c>
      <c r="BA24" s="51">
        <v>345</v>
      </c>
      <c r="BB24" s="51">
        <f t="shared" si="30"/>
        <v>325</v>
      </c>
      <c r="BC24" s="18">
        <f t="shared" si="31"/>
        <v>1</v>
      </c>
      <c r="BD24" s="52">
        <v>115</v>
      </c>
      <c r="BE24" s="52">
        <v>22</v>
      </c>
      <c r="BF24" s="53">
        <f t="shared" si="32"/>
        <v>104.88</v>
      </c>
      <c r="BG24" s="53">
        <f t="shared" si="33"/>
        <v>6.7321428571428577</v>
      </c>
      <c r="BH24" s="46">
        <f t="shared" si="34"/>
        <v>760</v>
      </c>
      <c r="BI24" s="53">
        <f t="shared" si="35"/>
        <v>145</v>
      </c>
      <c r="BJ24" s="20">
        <f t="shared" si="36"/>
        <v>24400</v>
      </c>
      <c r="BN24" s="20">
        <v>0.80800000000000005</v>
      </c>
    </row>
    <row r="25" spans="1:66">
      <c r="A25" s="49" t="s">
        <v>272</v>
      </c>
      <c r="B25" s="20">
        <v>810</v>
      </c>
      <c r="C25" s="20">
        <v>275</v>
      </c>
      <c r="D25" s="20">
        <v>25</v>
      </c>
      <c r="E25" s="20">
        <v>10</v>
      </c>
      <c r="K25" s="20">
        <v>21400</v>
      </c>
      <c r="L25" s="20">
        <f t="shared" si="0"/>
        <v>21350</v>
      </c>
      <c r="M25" s="71">
        <f t="shared" si="1"/>
        <v>0</v>
      </c>
      <c r="N25" s="71">
        <f t="shared" si="2"/>
        <v>405</v>
      </c>
      <c r="O25" s="71">
        <f t="shared" si="3"/>
        <v>0</v>
      </c>
      <c r="P25" s="71">
        <f t="shared" si="4"/>
        <v>6875</v>
      </c>
      <c r="Q25" s="71">
        <f t="shared" si="5"/>
        <v>392.5</v>
      </c>
      <c r="R25" s="71">
        <f t="shared" si="6"/>
        <v>358072.91666666669</v>
      </c>
      <c r="S25" s="71">
        <f t="shared" si="7"/>
        <v>3800</v>
      </c>
      <c r="T25" s="71">
        <f t="shared" si="8"/>
        <v>190</v>
      </c>
      <c r="U25" s="71">
        <f t="shared" si="9"/>
        <v>45726666.666666664</v>
      </c>
      <c r="V25" s="71">
        <f t="shared" si="10"/>
        <v>3800</v>
      </c>
      <c r="W25" s="71">
        <f t="shared" si="11"/>
        <v>190</v>
      </c>
      <c r="X25" s="71">
        <f t="shared" si="12"/>
        <v>50389231.770833336</v>
      </c>
      <c r="Y25" s="71">
        <f t="shared" si="13"/>
        <v>6875</v>
      </c>
      <c r="Z25" s="71">
        <f t="shared" si="14"/>
        <v>392.5</v>
      </c>
      <c r="AA25" s="71">
        <f t="shared" si="15"/>
        <v>358072.91666666669</v>
      </c>
      <c r="AB25" s="71">
        <f t="shared" si="16"/>
        <v>0</v>
      </c>
      <c r="AC25" s="71">
        <f t="shared" si="17"/>
        <v>405</v>
      </c>
      <c r="AD25" s="71">
        <f t="shared" si="18"/>
        <v>0</v>
      </c>
      <c r="AE25" s="71">
        <f t="shared" si="19"/>
        <v>810</v>
      </c>
      <c r="AF25" s="71">
        <f t="shared" si="20"/>
        <v>405</v>
      </c>
      <c r="AG25" s="71">
        <f t="shared" si="21"/>
        <v>2489465481.770833</v>
      </c>
      <c r="AH25" s="71">
        <f t="shared" si="22"/>
        <v>6146828.3500514394</v>
      </c>
      <c r="AI25" s="71">
        <f t="shared" si="23"/>
        <v>6840875</v>
      </c>
      <c r="AJ25" s="50">
        <f t="shared" si="24"/>
        <v>1.001112109128899</v>
      </c>
      <c r="AK25" s="50">
        <f t="shared" si="25"/>
        <v>1.0001279239766081</v>
      </c>
      <c r="AL25" s="20">
        <v>2480000000</v>
      </c>
      <c r="AM25" s="20">
        <v>6140000</v>
      </c>
      <c r="AN25" s="20">
        <v>6840000</v>
      </c>
      <c r="AO25" s="20">
        <v>341</v>
      </c>
      <c r="AP25" s="20">
        <v>86700000</v>
      </c>
      <c r="AQ25" s="20">
        <v>631000</v>
      </c>
      <c r="AR25" s="20">
        <v>964000</v>
      </c>
      <c r="AS25" s="20">
        <v>63.7</v>
      </c>
      <c r="AT25" s="20">
        <v>2990000</v>
      </c>
      <c r="AU25" s="20">
        <v>13400000000000</v>
      </c>
      <c r="AV25" s="40">
        <f t="shared" si="26"/>
        <v>2123.8200000000002</v>
      </c>
      <c r="AW25" s="40">
        <f t="shared" si="27"/>
        <v>293.88825000000003</v>
      </c>
      <c r="AX25" s="37">
        <f t="shared" si="28"/>
        <v>760</v>
      </c>
      <c r="AY25" s="37">
        <f t="shared" si="29"/>
        <v>132.5</v>
      </c>
      <c r="AZ25" s="38">
        <v>1</v>
      </c>
      <c r="BA25" s="51">
        <v>345</v>
      </c>
      <c r="BB25" s="51">
        <f t="shared" si="30"/>
        <v>325</v>
      </c>
      <c r="BC25" s="18">
        <f t="shared" si="31"/>
        <v>1</v>
      </c>
      <c r="BD25" s="52">
        <v>115</v>
      </c>
      <c r="BE25" s="52">
        <v>22</v>
      </c>
      <c r="BF25" s="53">
        <f t="shared" si="32"/>
        <v>104.88</v>
      </c>
      <c r="BG25" s="53">
        <f t="shared" si="33"/>
        <v>6.89</v>
      </c>
      <c r="BH25" s="46">
        <f t="shared" si="34"/>
        <v>760</v>
      </c>
      <c r="BI25" s="53">
        <f t="shared" si="35"/>
        <v>132.5</v>
      </c>
      <c r="BJ25" s="20">
        <f t="shared" si="36"/>
        <v>21350</v>
      </c>
      <c r="BN25" s="20">
        <v>0.78100000000000003</v>
      </c>
    </row>
    <row r="26" spans="1:66">
      <c r="A26" s="49" t="s">
        <v>271</v>
      </c>
      <c r="B26" s="20">
        <v>800</v>
      </c>
      <c r="C26" s="20">
        <v>275</v>
      </c>
      <c r="D26" s="20">
        <v>20</v>
      </c>
      <c r="E26" s="20">
        <v>10</v>
      </c>
      <c r="K26" s="20">
        <v>18600</v>
      </c>
      <c r="L26" s="20">
        <f t="shared" si="0"/>
        <v>18600</v>
      </c>
      <c r="M26" s="71">
        <f t="shared" si="1"/>
        <v>0</v>
      </c>
      <c r="N26" s="71">
        <f t="shared" si="2"/>
        <v>400</v>
      </c>
      <c r="O26" s="71">
        <f t="shared" si="3"/>
        <v>0</v>
      </c>
      <c r="P26" s="71">
        <f t="shared" si="4"/>
        <v>5500</v>
      </c>
      <c r="Q26" s="71">
        <f t="shared" si="5"/>
        <v>390</v>
      </c>
      <c r="R26" s="71">
        <f t="shared" si="6"/>
        <v>183333.33333333334</v>
      </c>
      <c r="S26" s="71">
        <f t="shared" si="7"/>
        <v>3800</v>
      </c>
      <c r="T26" s="71">
        <f t="shared" si="8"/>
        <v>190</v>
      </c>
      <c r="U26" s="71">
        <f t="shared" si="9"/>
        <v>45726666.666666664</v>
      </c>
      <c r="V26" s="71">
        <f t="shared" si="10"/>
        <v>3800</v>
      </c>
      <c r="W26" s="71">
        <f t="shared" si="11"/>
        <v>190</v>
      </c>
      <c r="X26" s="71">
        <f t="shared" si="12"/>
        <v>49432500</v>
      </c>
      <c r="Y26" s="71">
        <f t="shared" si="13"/>
        <v>5500</v>
      </c>
      <c r="Z26" s="71">
        <f t="shared" si="14"/>
        <v>390</v>
      </c>
      <c r="AA26" s="71">
        <f t="shared" si="15"/>
        <v>183333.33333333334</v>
      </c>
      <c r="AB26" s="71">
        <f t="shared" si="16"/>
        <v>0</v>
      </c>
      <c r="AC26" s="71">
        <f t="shared" si="17"/>
        <v>400</v>
      </c>
      <c r="AD26" s="71">
        <f t="shared" si="18"/>
        <v>0</v>
      </c>
      <c r="AE26" s="71">
        <f t="shared" si="19"/>
        <v>800</v>
      </c>
      <c r="AF26" s="71">
        <f t="shared" si="20"/>
        <v>400</v>
      </c>
      <c r="AG26" s="71">
        <f t="shared" si="21"/>
        <v>2042985833.3333335</v>
      </c>
      <c r="AH26" s="71">
        <f t="shared" si="22"/>
        <v>5107464.583333334</v>
      </c>
      <c r="AI26" s="71">
        <f t="shared" si="23"/>
        <v>5734000</v>
      </c>
      <c r="AJ26" s="50">
        <f t="shared" si="24"/>
        <v>1.0014636437908497</v>
      </c>
      <c r="AK26" s="50">
        <f t="shared" si="25"/>
        <v>1.000698080279232</v>
      </c>
      <c r="AL26" s="20">
        <v>2040000000</v>
      </c>
      <c r="AM26" s="20">
        <v>5100000</v>
      </c>
      <c r="AN26" s="20">
        <v>5730000</v>
      </c>
      <c r="AO26" s="20">
        <v>331</v>
      </c>
      <c r="AP26" s="20">
        <v>69400000</v>
      </c>
      <c r="AQ26" s="20">
        <v>505000</v>
      </c>
      <c r="AR26" s="20">
        <v>775000</v>
      </c>
      <c r="AS26" s="20">
        <v>61.1</v>
      </c>
      <c r="AT26" s="20">
        <v>1670000</v>
      </c>
      <c r="AU26" s="20">
        <v>10600000000000</v>
      </c>
      <c r="AV26" s="40">
        <f t="shared" si="26"/>
        <v>1779.165</v>
      </c>
      <c r="AW26" s="40">
        <f t="shared" si="27"/>
        <v>235.20375000000001</v>
      </c>
      <c r="AX26" s="37">
        <f t="shared" si="28"/>
        <v>760</v>
      </c>
      <c r="AY26" s="37">
        <f t="shared" si="29"/>
        <v>132.5</v>
      </c>
      <c r="AZ26" s="38">
        <v>1</v>
      </c>
      <c r="BA26" s="51">
        <v>345</v>
      </c>
      <c r="BB26" s="51">
        <f t="shared" si="30"/>
        <v>325</v>
      </c>
      <c r="BC26" s="18">
        <f t="shared" si="31"/>
        <v>1</v>
      </c>
      <c r="BD26" s="52">
        <v>115</v>
      </c>
      <c r="BE26" s="52">
        <v>22</v>
      </c>
      <c r="BF26" s="53">
        <f t="shared" si="32"/>
        <v>104.88</v>
      </c>
      <c r="BG26" s="53">
        <f t="shared" si="33"/>
        <v>8.6125000000000007</v>
      </c>
      <c r="BH26" s="46">
        <f t="shared" si="34"/>
        <v>760</v>
      </c>
      <c r="BI26" s="53">
        <f t="shared" si="35"/>
        <v>132.5</v>
      </c>
      <c r="BJ26" s="20">
        <f t="shared" si="36"/>
        <v>18600</v>
      </c>
      <c r="BN26" s="20">
        <v>0.74399999999999999</v>
      </c>
    </row>
    <row r="27" spans="1:66">
      <c r="A27" s="49" t="s">
        <v>270</v>
      </c>
      <c r="B27" s="20">
        <v>792</v>
      </c>
      <c r="C27" s="20">
        <v>250</v>
      </c>
      <c r="D27" s="20">
        <v>16</v>
      </c>
      <c r="E27" s="20">
        <v>10</v>
      </c>
      <c r="K27" s="20">
        <v>15600</v>
      </c>
      <c r="L27" s="20">
        <f t="shared" si="0"/>
        <v>15600</v>
      </c>
      <c r="M27" s="71">
        <f t="shared" si="1"/>
        <v>0</v>
      </c>
      <c r="N27" s="71">
        <f t="shared" si="2"/>
        <v>396</v>
      </c>
      <c r="O27" s="71">
        <f t="shared" si="3"/>
        <v>0</v>
      </c>
      <c r="P27" s="71">
        <f t="shared" si="4"/>
        <v>4000</v>
      </c>
      <c r="Q27" s="71">
        <f t="shared" si="5"/>
        <v>388</v>
      </c>
      <c r="R27" s="71">
        <f t="shared" si="6"/>
        <v>85333.333333333328</v>
      </c>
      <c r="S27" s="71">
        <f t="shared" si="7"/>
        <v>3800</v>
      </c>
      <c r="T27" s="71">
        <f t="shared" si="8"/>
        <v>190</v>
      </c>
      <c r="U27" s="71">
        <f t="shared" si="9"/>
        <v>45726666.666666664</v>
      </c>
      <c r="V27" s="71">
        <f t="shared" si="10"/>
        <v>3800</v>
      </c>
      <c r="W27" s="71">
        <f t="shared" si="11"/>
        <v>190</v>
      </c>
      <c r="X27" s="71">
        <f t="shared" si="12"/>
        <v>48675893.333333336</v>
      </c>
      <c r="Y27" s="71">
        <f t="shared" si="13"/>
        <v>4000</v>
      </c>
      <c r="Z27" s="71">
        <f t="shared" si="14"/>
        <v>388</v>
      </c>
      <c r="AA27" s="71">
        <f t="shared" si="15"/>
        <v>85333.333333333328</v>
      </c>
      <c r="AB27" s="71">
        <f t="shared" si="16"/>
        <v>0</v>
      </c>
      <c r="AC27" s="71">
        <f t="shared" si="17"/>
        <v>396</v>
      </c>
      <c r="AD27" s="71">
        <f t="shared" si="18"/>
        <v>0</v>
      </c>
      <c r="AE27" s="71">
        <f t="shared" si="19"/>
        <v>792</v>
      </c>
      <c r="AF27" s="71">
        <f t="shared" si="20"/>
        <v>396</v>
      </c>
      <c r="AG27" s="71">
        <f t="shared" si="21"/>
        <v>1573285226.6666667</v>
      </c>
      <c r="AH27" s="71">
        <f t="shared" si="22"/>
        <v>3972942.4915824919</v>
      </c>
      <c r="AI27" s="71">
        <f t="shared" si="23"/>
        <v>4548000</v>
      </c>
      <c r="AJ27" s="50">
        <f t="shared" si="24"/>
        <v>1.0007411817588141</v>
      </c>
      <c r="AK27" s="50">
        <f t="shared" si="25"/>
        <v>0.99956043956043961</v>
      </c>
      <c r="AL27" s="20">
        <v>1570000000</v>
      </c>
      <c r="AM27" s="20">
        <v>3970000</v>
      </c>
      <c r="AN27" s="20">
        <v>4550000</v>
      </c>
      <c r="AO27" s="20">
        <v>317</v>
      </c>
      <c r="AP27" s="20">
        <v>41700000</v>
      </c>
      <c r="AQ27" s="20">
        <v>334000</v>
      </c>
      <c r="AR27" s="20">
        <v>519000</v>
      </c>
      <c r="AS27" s="20">
        <v>51.7</v>
      </c>
      <c r="AT27" s="20">
        <v>921000</v>
      </c>
      <c r="AU27" s="20">
        <v>6280000000000</v>
      </c>
      <c r="AV27" s="40">
        <f t="shared" si="26"/>
        <v>1412.7750000000001</v>
      </c>
      <c r="AW27" s="40">
        <f t="shared" si="27"/>
        <v>155.56049999999999</v>
      </c>
      <c r="AX27" s="37">
        <f t="shared" si="28"/>
        <v>760</v>
      </c>
      <c r="AY27" s="37">
        <f t="shared" si="29"/>
        <v>120</v>
      </c>
      <c r="AZ27" s="38">
        <v>1</v>
      </c>
      <c r="BA27" s="51">
        <v>345</v>
      </c>
      <c r="BB27" s="51">
        <f t="shared" si="30"/>
        <v>345</v>
      </c>
      <c r="BC27" s="18">
        <f t="shared" si="31"/>
        <v>1</v>
      </c>
      <c r="BD27" s="52">
        <v>115</v>
      </c>
      <c r="BE27" s="52">
        <v>22</v>
      </c>
      <c r="BF27" s="53">
        <f t="shared" si="32"/>
        <v>104.88</v>
      </c>
      <c r="BG27" s="53">
        <f t="shared" si="33"/>
        <v>10.35</v>
      </c>
      <c r="BH27" s="46">
        <f t="shared" si="34"/>
        <v>760</v>
      </c>
      <c r="BI27" s="53">
        <f t="shared" si="35"/>
        <v>120</v>
      </c>
      <c r="BJ27" s="20">
        <f t="shared" si="36"/>
        <v>15600</v>
      </c>
      <c r="BN27" s="20">
        <v>0.69499999999999995</v>
      </c>
    </row>
    <row r="28" spans="1:66">
      <c r="A28" s="49" t="s">
        <v>269</v>
      </c>
      <c r="B28" s="20">
        <v>716</v>
      </c>
      <c r="C28" s="20">
        <v>275</v>
      </c>
      <c r="D28" s="20">
        <v>28</v>
      </c>
      <c r="E28" s="20">
        <v>10</v>
      </c>
      <c r="K28" s="20">
        <v>22000</v>
      </c>
      <c r="L28" s="20">
        <f t="shared" si="0"/>
        <v>22000</v>
      </c>
      <c r="M28" s="71">
        <f t="shared" si="1"/>
        <v>0</v>
      </c>
      <c r="N28" s="71">
        <f t="shared" si="2"/>
        <v>358</v>
      </c>
      <c r="O28" s="71">
        <f t="shared" si="3"/>
        <v>0</v>
      </c>
      <c r="P28" s="71">
        <f t="shared" si="4"/>
        <v>7700</v>
      </c>
      <c r="Q28" s="71">
        <f t="shared" si="5"/>
        <v>344</v>
      </c>
      <c r="R28" s="71">
        <f t="shared" si="6"/>
        <v>503066.66666666669</v>
      </c>
      <c r="S28" s="71">
        <f t="shared" si="7"/>
        <v>3300</v>
      </c>
      <c r="T28" s="71">
        <f t="shared" si="8"/>
        <v>165</v>
      </c>
      <c r="U28" s="71">
        <f t="shared" si="9"/>
        <v>29947500</v>
      </c>
      <c r="V28" s="71">
        <f t="shared" si="10"/>
        <v>3300</v>
      </c>
      <c r="W28" s="71">
        <f t="shared" si="11"/>
        <v>165</v>
      </c>
      <c r="X28" s="71">
        <f t="shared" si="12"/>
        <v>33922986.666666664</v>
      </c>
      <c r="Y28" s="71">
        <f t="shared" si="13"/>
        <v>7700</v>
      </c>
      <c r="Z28" s="71">
        <f t="shared" si="14"/>
        <v>344</v>
      </c>
      <c r="AA28" s="71">
        <f t="shared" si="15"/>
        <v>503066.66666666669</v>
      </c>
      <c r="AB28" s="71">
        <f t="shared" si="16"/>
        <v>0</v>
      </c>
      <c r="AC28" s="71">
        <f t="shared" si="17"/>
        <v>358</v>
      </c>
      <c r="AD28" s="71">
        <f t="shared" si="18"/>
        <v>0</v>
      </c>
      <c r="AE28" s="71">
        <f t="shared" si="19"/>
        <v>716</v>
      </c>
      <c r="AF28" s="71">
        <f t="shared" si="20"/>
        <v>358</v>
      </c>
      <c r="AG28" s="71">
        <f t="shared" si="21"/>
        <v>2066936020</v>
      </c>
      <c r="AH28" s="71">
        <f t="shared" si="22"/>
        <v>5773564.3016759781</v>
      </c>
      <c r="AI28" s="71">
        <f t="shared" si="23"/>
        <v>6386600</v>
      </c>
      <c r="AJ28" s="50">
        <f t="shared" si="24"/>
        <v>1.0023549134854128</v>
      </c>
      <c r="AK28" s="50">
        <f t="shared" si="25"/>
        <v>0.99946791862284823</v>
      </c>
      <c r="AL28" s="20">
        <v>2060000000</v>
      </c>
      <c r="AM28" s="20">
        <v>5760000</v>
      </c>
      <c r="AN28" s="20">
        <v>6390000</v>
      </c>
      <c r="AO28" s="20">
        <v>306</v>
      </c>
      <c r="AP28" s="20">
        <v>97100000</v>
      </c>
      <c r="AQ28" s="20">
        <v>706000</v>
      </c>
      <c r="AR28" s="20">
        <v>1080000</v>
      </c>
      <c r="AS28" s="20">
        <v>66.400000000000006</v>
      </c>
      <c r="AT28" s="20">
        <v>4020000</v>
      </c>
      <c r="AU28" s="20">
        <v>11500000000000</v>
      </c>
      <c r="AV28" s="40">
        <f t="shared" si="26"/>
        <v>1984.095</v>
      </c>
      <c r="AW28" s="40">
        <f t="shared" si="27"/>
        <v>328.81950000000001</v>
      </c>
      <c r="AX28" s="37">
        <f t="shared" si="28"/>
        <v>660</v>
      </c>
      <c r="AY28" s="37">
        <f t="shared" si="29"/>
        <v>132.5</v>
      </c>
      <c r="AZ28" s="38">
        <v>1</v>
      </c>
      <c r="BA28" s="51">
        <v>345</v>
      </c>
      <c r="BB28" s="51">
        <f t="shared" si="30"/>
        <v>325</v>
      </c>
      <c r="BC28" s="18">
        <f t="shared" si="31"/>
        <v>1</v>
      </c>
      <c r="BD28" s="52">
        <v>115</v>
      </c>
      <c r="BE28" s="52">
        <v>22</v>
      </c>
      <c r="BF28" s="53">
        <f t="shared" si="32"/>
        <v>91.08</v>
      </c>
      <c r="BG28" s="53">
        <f t="shared" si="33"/>
        <v>6.1517857142857144</v>
      </c>
      <c r="BH28" s="46">
        <f t="shared" si="34"/>
        <v>660</v>
      </c>
      <c r="BI28" s="53">
        <f t="shared" si="35"/>
        <v>132.5</v>
      </c>
      <c r="BJ28" s="20">
        <f t="shared" si="36"/>
        <v>22000</v>
      </c>
      <c r="BN28" s="20">
        <v>0.83299999999999996</v>
      </c>
    </row>
    <row r="29" spans="1:66">
      <c r="A29" s="49" t="s">
        <v>268</v>
      </c>
      <c r="B29" s="20">
        <v>710</v>
      </c>
      <c r="C29" s="20">
        <v>250</v>
      </c>
      <c r="D29" s="20">
        <v>25</v>
      </c>
      <c r="E29" s="20">
        <v>10</v>
      </c>
      <c r="K29" s="20">
        <v>19100</v>
      </c>
      <c r="L29" s="20">
        <f t="shared" si="0"/>
        <v>19100</v>
      </c>
      <c r="M29" s="71">
        <f t="shared" si="1"/>
        <v>0</v>
      </c>
      <c r="N29" s="71">
        <f t="shared" si="2"/>
        <v>355</v>
      </c>
      <c r="O29" s="71">
        <f t="shared" si="3"/>
        <v>0</v>
      </c>
      <c r="P29" s="71">
        <f t="shared" si="4"/>
        <v>6250</v>
      </c>
      <c r="Q29" s="71">
        <f t="shared" si="5"/>
        <v>342.5</v>
      </c>
      <c r="R29" s="71">
        <f t="shared" si="6"/>
        <v>325520.83333333331</v>
      </c>
      <c r="S29" s="71">
        <f t="shared" si="7"/>
        <v>3300</v>
      </c>
      <c r="T29" s="71">
        <f t="shared" si="8"/>
        <v>165</v>
      </c>
      <c r="U29" s="71">
        <f t="shared" si="9"/>
        <v>29947500</v>
      </c>
      <c r="V29" s="71">
        <f t="shared" si="10"/>
        <v>3300</v>
      </c>
      <c r="W29" s="71">
        <f t="shared" si="11"/>
        <v>165</v>
      </c>
      <c r="X29" s="71">
        <f t="shared" si="12"/>
        <v>33481158.854166668</v>
      </c>
      <c r="Y29" s="71">
        <f t="shared" si="13"/>
        <v>6250</v>
      </c>
      <c r="Z29" s="71">
        <f t="shared" si="14"/>
        <v>342.5</v>
      </c>
      <c r="AA29" s="71">
        <f t="shared" si="15"/>
        <v>325520.83333333331</v>
      </c>
      <c r="AB29" s="71">
        <f t="shared" si="16"/>
        <v>0</v>
      </c>
      <c r="AC29" s="71">
        <f t="shared" si="17"/>
        <v>355</v>
      </c>
      <c r="AD29" s="71">
        <f t="shared" si="18"/>
        <v>0</v>
      </c>
      <c r="AE29" s="71">
        <f t="shared" si="19"/>
        <v>710</v>
      </c>
      <c r="AF29" s="71">
        <f t="shared" si="20"/>
        <v>355</v>
      </c>
      <c r="AG29" s="71">
        <f t="shared" si="21"/>
        <v>1710092825.5208335</v>
      </c>
      <c r="AH29" s="71">
        <f t="shared" si="22"/>
        <v>4817162.8887910806</v>
      </c>
      <c r="AI29" s="71">
        <f t="shared" si="23"/>
        <v>5370250</v>
      </c>
      <c r="AJ29" s="50">
        <f t="shared" si="24"/>
        <v>1.0014891660688316</v>
      </c>
      <c r="AK29" s="50">
        <f t="shared" si="25"/>
        <v>1.0000465549348232</v>
      </c>
      <c r="AL29" s="20">
        <v>1710000000</v>
      </c>
      <c r="AM29" s="20">
        <v>4810000</v>
      </c>
      <c r="AN29" s="20">
        <v>5370000</v>
      </c>
      <c r="AO29" s="20">
        <v>299</v>
      </c>
      <c r="AP29" s="20">
        <v>65200000</v>
      </c>
      <c r="AQ29" s="20">
        <v>521000</v>
      </c>
      <c r="AR29" s="20">
        <v>798000</v>
      </c>
      <c r="AS29" s="20">
        <v>58.4</v>
      </c>
      <c r="AT29" s="20">
        <v>2690000</v>
      </c>
      <c r="AU29" s="20">
        <v>7640000000000</v>
      </c>
      <c r="AV29" s="40">
        <f t="shared" si="26"/>
        <v>1667.385</v>
      </c>
      <c r="AW29" s="40">
        <f t="shared" si="27"/>
        <v>242.65575000000001</v>
      </c>
      <c r="AX29" s="37">
        <f t="shared" si="28"/>
        <v>660</v>
      </c>
      <c r="AY29" s="37">
        <f t="shared" si="29"/>
        <v>120</v>
      </c>
      <c r="AZ29" s="38">
        <v>1</v>
      </c>
      <c r="BA29" s="51">
        <v>345</v>
      </c>
      <c r="BB29" s="51">
        <f t="shared" si="30"/>
        <v>325</v>
      </c>
      <c r="BC29" s="18">
        <f t="shared" si="31"/>
        <v>1</v>
      </c>
      <c r="BD29" s="52">
        <v>115</v>
      </c>
      <c r="BE29" s="52">
        <v>22</v>
      </c>
      <c r="BF29" s="53">
        <f t="shared" si="32"/>
        <v>91.08</v>
      </c>
      <c r="BG29" s="53">
        <f t="shared" si="33"/>
        <v>6.24</v>
      </c>
      <c r="BH29" s="46">
        <f t="shared" si="34"/>
        <v>660</v>
      </c>
      <c r="BI29" s="53">
        <f t="shared" si="35"/>
        <v>120</v>
      </c>
      <c r="BJ29" s="20">
        <f t="shared" si="36"/>
        <v>19100</v>
      </c>
      <c r="BN29" s="20">
        <v>0.80700000000000005</v>
      </c>
    </row>
    <row r="30" spans="1:66">
      <c r="A30" s="49" t="s">
        <v>267</v>
      </c>
      <c r="B30" s="20">
        <v>700</v>
      </c>
      <c r="C30" s="20">
        <v>250</v>
      </c>
      <c r="D30" s="20">
        <v>20</v>
      </c>
      <c r="E30" s="20">
        <v>10</v>
      </c>
      <c r="K30" s="20">
        <v>16600</v>
      </c>
      <c r="L30" s="20">
        <f t="shared" si="0"/>
        <v>16600</v>
      </c>
      <c r="M30" s="71">
        <f t="shared" si="1"/>
        <v>0</v>
      </c>
      <c r="N30" s="71">
        <f t="shared" si="2"/>
        <v>350</v>
      </c>
      <c r="O30" s="71">
        <f t="shared" si="3"/>
        <v>0</v>
      </c>
      <c r="P30" s="71">
        <f t="shared" si="4"/>
        <v>5000</v>
      </c>
      <c r="Q30" s="71">
        <f t="shared" si="5"/>
        <v>340</v>
      </c>
      <c r="R30" s="71">
        <f t="shared" si="6"/>
        <v>166666.66666666666</v>
      </c>
      <c r="S30" s="71">
        <f t="shared" si="7"/>
        <v>3300</v>
      </c>
      <c r="T30" s="71">
        <f t="shared" si="8"/>
        <v>165</v>
      </c>
      <c r="U30" s="71">
        <f t="shared" si="9"/>
        <v>29947500</v>
      </c>
      <c r="V30" s="71">
        <f t="shared" si="10"/>
        <v>3300</v>
      </c>
      <c r="W30" s="71">
        <f t="shared" si="11"/>
        <v>165</v>
      </c>
      <c r="X30" s="71">
        <f t="shared" si="12"/>
        <v>32753333.333333332</v>
      </c>
      <c r="Y30" s="71">
        <f t="shared" si="13"/>
        <v>5000</v>
      </c>
      <c r="Z30" s="71">
        <f t="shared" si="14"/>
        <v>340</v>
      </c>
      <c r="AA30" s="71">
        <f t="shared" si="15"/>
        <v>166666.66666666666</v>
      </c>
      <c r="AB30" s="71">
        <f t="shared" si="16"/>
        <v>0</v>
      </c>
      <c r="AC30" s="71">
        <f t="shared" si="17"/>
        <v>350</v>
      </c>
      <c r="AD30" s="71">
        <f t="shared" si="18"/>
        <v>0</v>
      </c>
      <c r="AE30" s="71">
        <f t="shared" si="19"/>
        <v>700</v>
      </c>
      <c r="AF30" s="71">
        <f t="shared" si="20"/>
        <v>350</v>
      </c>
      <c r="AG30" s="71">
        <f t="shared" si="21"/>
        <v>1398719166.6666665</v>
      </c>
      <c r="AH30" s="71">
        <f t="shared" si="22"/>
        <v>3996340.4761904757</v>
      </c>
      <c r="AI30" s="71">
        <f t="shared" si="23"/>
        <v>4489000</v>
      </c>
      <c r="AJ30" s="50">
        <f t="shared" si="24"/>
        <v>1.0015890917770616</v>
      </c>
      <c r="AK30" s="50">
        <f t="shared" si="25"/>
        <v>0.99977728285077949</v>
      </c>
      <c r="AL30" s="20">
        <v>1400000000</v>
      </c>
      <c r="AM30" s="20">
        <v>3990000</v>
      </c>
      <c r="AN30" s="20">
        <v>4490000</v>
      </c>
      <c r="AO30" s="20">
        <v>290</v>
      </c>
      <c r="AP30" s="20">
        <v>52100000</v>
      </c>
      <c r="AQ30" s="20">
        <v>417000</v>
      </c>
      <c r="AR30" s="20">
        <v>642000</v>
      </c>
      <c r="AS30" s="20">
        <v>56</v>
      </c>
      <c r="AT30" s="20">
        <v>1510000</v>
      </c>
      <c r="AU30" s="20">
        <v>6030000000000</v>
      </c>
      <c r="AV30" s="40">
        <f t="shared" si="26"/>
        <v>1394.145</v>
      </c>
      <c r="AW30" s="40">
        <f t="shared" si="27"/>
        <v>194.21775</v>
      </c>
      <c r="AX30" s="37">
        <f t="shared" si="28"/>
        <v>660</v>
      </c>
      <c r="AY30" s="37">
        <f t="shared" si="29"/>
        <v>120</v>
      </c>
      <c r="AZ30" s="38">
        <v>1</v>
      </c>
      <c r="BA30" s="51">
        <v>345</v>
      </c>
      <c r="BB30" s="51">
        <f t="shared" si="30"/>
        <v>325</v>
      </c>
      <c r="BC30" s="18">
        <f t="shared" si="31"/>
        <v>1</v>
      </c>
      <c r="BD30" s="52">
        <v>115</v>
      </c>
      <c r="BE30" s="52">
        <v>22</v>
      </c>
      <c r="BF30" s="53">
        <f t="shared" si="32"/>
        <v>91.08</v>
      </c>
      <c r="BG30" s="53">
        <f t="shared" si="33"/>
        <v>7.8000000000000007</v>
      </c>
      <c r="BH30" s="46">
        <f t="shared" si="34"/>
        <v>660</v>
      </c>
      <c r="BI30" s="53">
        <f t="shared" si="35"/>
        <v>120</v>
      </c>
      <c r="BJ30" s="20">
        <f t="shared" si="36"/>
        <v>16600</v>
      </c>
      <c r="BN30" s="20">
        <v>0.77300000000000002</v>
      </c>
    </row>
    <row r="31" spans="1:66">
      <c r="A31" s="49" t="s">
        <v>266</v>
      </c>
      <c r="B31" s="20">
        <v>700</v>
      </c>
      <c r="C31" s="20">
        <v>250</v>
      </c>
      <c r="D31" s="20">
        <v>20</v>
      </c>
      <c r="E31" s="20">
        <v>10</v>
      </c>
      <c r="H31" s="20">
        <v>16</v>
      </c>
      <c r="I31" s="20">
        <v>200</v>
      </c>
      <c r="K31" s="20">
        <v>16600</v>
      </c>
      <c r="L31" s="20">
        <f t="shared" si="0"/>
        <v>16600</v>
      </c>
      <c r="M31" s="71">
        <f t="shared" si="1"/>
        <v>3200</v>
      </c>
      <c r="N31" s="71">
        <f t="shared" si="2"/>
        <v>300.14141414141415</v>
      </c>
      <c r="O31" s="71">
        <f t="shared" si="3"/>
        <v>68266.666666666672</v>
      </c>
      <c r="P31" s="71">
        <f t="shared" si="4"/>
        <v>5000</v>
      </c>
      <c r="Q31" s="71">
        <f t="shared" si="5"/>
        <v>282.14141414141415</v>
      </c>
      <c r="R31" s="71">
        <f t="shared" si="6"/>
        <v>166666.66666666666</v>
      </c>
      <c r="S31" s="71">
        <f t="shared" si="7"/>
        <v>2721.4141414141413</v>
      </c>
      <c r="T31" s="71">
        <f t="shared" si="8"/>
        <v>136.07070707070707</v>
      </c>
      <c r="U31" s="71">
        <f t="shared" si="9"/>
        <v>16795876.227231674</v>
      </c>
      <c r="V31" s="71">
        <f t="shared" si="10"/>
        <v>3878.5858585858587</v>
      </c>
      <c r="W31" s="71">
        <f t="shared" si="11"/>
        <v>193.92929292929293</v>
      </c>
      <c r="X31" s="71">
        <f t="shared" si="12"/>
        <v>52481345.148138188</v>
      </c>
      <c r="Y31" s="71">
        <f t="shared" si="13"/>
        <v>5000</v>
      </c>
      <c r="Z31" s="71">
        <f t="shared" si="14"/>
        <v>397.85858585858585</v>
      </c>
      <c r="AA31" s="71">
        <f t="shared" si="15"/>
        <v>166666.66666666666</v>
      </c>
      <c r="AB31" s="71">
        <f t="shared" si="16"/>
        <v>0</v>
      </c>
      <c r="AC31" s="71">
        <f t="shared" si="17"/>
        <v>407.85858585858585</v>
      </c>
      <c r="AD31" s="71">
        <f t="shared" si="18"/>
        <v>0</v>
      </c>
      <c r="AE31" s="71">
        <f t="shared" si="19"/>
        <v>716</v>
      </c>
      <c r="AF31" s="71">
        <f t="shared" si="20"/>
        <v>308.14141414141415</v>
      </c>
      <c r="AG31" s="71">
        <f t="shared" si="21"/>
        <v>1743682259.0858073</v>
      </c>
      <c r="AH31" s="71">
        <f t="shared" si="22"/>
        <v>5658707.9148198692</v>
      </c>
      <c r="AI31" s="71">
        <f t="shared" si="23"/>
        <v>5482928.6848280784</v>
      </c>
      <c r="AJ31" s="50">
        <f t="shared" si="24"/>
        <v>1</v>
      </c>
      <c r="AK31" s="50">
        <f t="shared" si="25"/>
        <v>1</v>
      </c>
      <c r="AL31" s="20">
        <v>1400000000</v>
      </c>
      <c r="AM31" s="43">
        <f>AH31</f>
        <v>5658707.9148198692</v>
      </c>
      <c r="AN31" s="43">
        <f>AI31</f>
        <v>5482928.6848280784</v>
      </c>
      <c r="AO31" s="20">
        <v>290</v>
      </c>
      <c r="AP31" s="20">
        <v>52100000</v>
      </c>
      <c r="AQ31" s="20">
        <v>417000</v>
      </c>
      <c r="AR31" s="20">
        <v>642000</v>
      </c>
      <c r="AS31" s="20">
        <v>56</v>
      </c>
      <c r="AT31" s="20">
        <v>1510000</v>
      </c>
      <c r="AU31" s="20">
        <v>6030000000000</v>
      </c>
      <c r="AV31" s="40">
        <f t="shared" si="26"/>
        <v>1702.4493566391184</v>
      </c>
      <c r="AW31" s="40">
        <f t="shared" si="27"/>
        <v>194.21775</v>
      </c>
      <c r="AX31" s="37">
        <f t="shared" si="28"/>
        <v>660</v>
      </c>
      <c r="AY31" s="37">
        <f t="shared" si="29"/>
        <v>120</v>
      </c>
      <c r="AZ31" s="38">
        <v>1</v>
      </c>
      <c r="BA31" s="51">
        <v>345</v>
      </c>
      <c r="BB31" s="51">
        <f t="shared" si="30"/>
        <v>325</v>
      </c>
      <c r="BC31" s="18">
        <f t="shared" si="31"/>
        <v>1</v>
      </c>
      <c r="BD31" s="52">
        <v>115</v>
      </c>
      <c r="BE31" s="52">
        <v>22</v>
      </c>
      <c r="BF31" s="53">
        <f t="shared" si="32"/>
        <v>91.08</v>
      </c>
      <c r="BG31" s="53">
        <f t="shared" si="33"/>
        <v>7.8000000000000007</v>
      </c>
      <c r="BH31" s="46">
        <f t="shared" si="34"/>
        <v>660</v>
      </c>
      <c r="BI31" s="53">
        <f t="shared" si="35"/>
        <v>120</v>
      </c>
      <c r="BJ31" s="20">
        <f t="shared" si="36"/>
        <v>16600</v>
      </c>
      <c r="BN31" s="20">
        <v>0.77300000000000002</v>
      </c>
    </row>
    <row r="32" spans="1:66" ht="15" thickBot="1">
      <c r="A32" s="54" t="s">
        <v>265</v>
      </c>
      <c r="B32" s="55">
        <v>692</v>
      </c>
      <c r="C32" s="55">
        <v>250</v>
      </c>
      <c r="D32" s="55">
        <v>16</v>
      </c>
      <c r="E32" s="55">
        <v>10</v>
      </c>
      <c r="K32" s="55">
        <v>14600</v>
      </c>
      <c r="L32" s="20">
        <f t="shared" si="0"/>
        <v>14600</v>
      </c>
      <c r="M32" s="71">
        <f t="shared" si="1"/>
        <v>0</v>
      </c>
      <c r="N32" s="71">
        <f t="shared" si="2"/>
        <v>346</v>
      </c>
      <c r="O32" s="71">
        <f t="shared" si="3"/>
        <v>0</v>
      </c>
      <c r="P32" s="71">
        <f t="shared" si="4"/>
        <v>4000</v>
      </c>
      <c r="Q32" s="71">
        <f t="shared" si="5"/>
        <v>338</v>
      </c>
      <c r="R32" s="71">
        <f t="shared" si="6"/>
        <v>85333.333333333328</v>
      </c>
      <c r="S32" s="71">
        <f t="shared" si="7"/>
        <v>3300</v>
      </c>
      <c r="T32" s="71">
        <f t="shared" si="8"/>
        <v>165</v>
      </c>
      <c r="U32" s="71">
        <f t="shared" si="9"/>
        <v>29947500</v>
      </c>
      <c r="V32" s="71">
        <f t="shared" si="10"/>
        <v>3300</v>
      </c>
      <c r="W32" s="71">
        <f t="shared" si="11"/>
        <v>165</v>
      </c>
      <c r="X32" s="71">
        <f t="shared" si="12"/>
        <v>32178726.666666668</v>
      </c>
      <c r="Y32" s="71">
        <f t="shared" si="13"/>
        <v>4000</v>
      </c>
      <c r="Z32" s="71">
        <f t="shared" si="14"/>
        <v>338</v>
      </c>
      <c r="AA32" s="71">
        <f t="shared" si="15"/>
        <v>85333.333333333328</v>
      </c>
      <c r="AB32" s="71">
        <f t="shared" si="16"/>
        <v>0</v>
      </c>
      <c r="AC32" s="71">
        <f t="shared" si="17"/>
        <v>346</v>
      </c>
      <c r="AD32" s="71">
        <f t="shared" si="18"/>
        <v>0</v>
      </c>
      <c r="AE32" s="71">
        <f t="shared" si="19"/>
        <v>692</v>
      </c>
      <c r="AF32" s="71">
        <f t="shared" si="20"/>
        <v>346</v>
      </c>
      <c r="AG32" s="71">
        <f t="shared" si="21"/>
        <v>1155933893.3333333</v>
      </c>
      <c r="AH32" s="71">
        <f t="shared" si="22"/>
        <v>3340849.4026974952</v>
      </c>
      <c r="AI32" s="71">
        <f t="shared" si="23"/>
        <v>3793000</v>
      </c>
      <c r="AJ32" s="50">
        <f t="shared" si="24"/>
        <v>1.0032580788881367</v>
      </c>
      <c r="AK32" s="50">
        <f t="shared" si="25"/>
        <v>1.0007915567282322</v>
      </c>
      <c r="AL32" s="55">
        <v>1150000000</v>
      </c>
      <c r="AM32" s="55">
        <v>3330000</v>
      </c>
      <c r="AN32" s="55">
        <v>3790000</v>
      </c>
      <c r="AO32" s="55">
        <v>281</v>
      </c>
      <c r="AP32" s="55">
        <v>41700000</v>
      </c>
      <c r="AQ32" s="55">
        <v>334000</v>
      </c>
      <c r="AR32" s="55">
        <v>516000</v>
      </c>
      <c r="AS32" s="55">
        <v>53.5</v>
      </c>
      <c r="AT32" s="55">
        <v>888000</v>
      </c>
      <c r="AU32" s="55">
        <v>4770000000000</v>
      </c>
      <c r="AV32" s="40">
        <f t="shared" si="26"/>
        <v>1176.7950000000001</v>
      </c>
      <c r="AW32" s="40">
        <f t="shared" si="27"/>
        <v>155.56049999999999</v>
      </c>
      <c r="AX32" s="37">
        <f t="shared" si="28"/>
        <v>660</v>
      </c>
      <c r="AY32" s="37">
        <f t="shared" si="29"/>
        <v>120</v>
      </c>
      <c r="AZ32" s="38">
        <v>1</v>
      </c>
      <c r="BA32" s="51">
        <v>345</v>
      </c>
      <c r="BB32" s="51">
        <f t="shared" si="30"/>
        <v>345</v>
      </c>
      <c r="BC32" s="18">
        <f t="shared" si="31"/>
        <v>1</v>
      </c>
      <c r="BD32" s="52">
        <v>115</v>
      </c>
      <c r="BE32" s="52">
        <v>22</v>
      </c>
      <c r="BF32" s="53">
        <f t="shared" si="32"/>
        <v>91.08</v>
      </c>
      <c r="BG32" s="53">
        <f t="shared" si="33"/>
        <v>10.35</v>
      </c>
      <c r="BH32" s="46">
        <f t="shared" si="34"/>
        <v>660</v>
      </c>
      <c r="BI32" s="53">
        <f t="shared" si="35"/>
        <v>120</v>
      </c>
      <c r="BJ32" s="20">
        <f t="shared" si="36"/>
        <v>14600</v>
      </c>
      <c r="BN32" s="20">
        <v>0.74199999999999999</v>
      </c>
    </row>
    <row r="33" spans="33:57">
      <c r="BD33" s="43">
        <v>115</v>
      </c>
      <c r="BE33" s="43">
        <v>22</v>
      </c>
    </row>
    <row r="34" spans="33:57">
      <c r="AG34" s="56"/>
      <c r="AH34" s="56"/>
    </row>
    <row r="42" spans="33:57" ht="18" customHeight="1"/>
  </sheetData>
  <mergeCells count="8">
    <mergeCell ref="AV5:BA5"/>
    <mergeCell ref="F4:G4"/>
    <mergeCell ref="H4:I4"/>
    <mergeCell ref="AJ4:AK4"/>
    <mergeCell ref="AL4:AO4"/>
    <mergeCell ref="AP4:AS4"/>
    <mergeCell ref="F5:G5"/>
    <mergeCell ref="H5:I5"/>
  </mergeCells>
  <conditionalFormatting sqref="BH8:BI32">
    <cfRule type="cellIs" dxfId="6" priority="1" operator="lessThan">
      <formula>AX8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Y Y w V e g g G C i k A A A A 9 g A A A B I A H A B D b 2 5 m a W c v U G F j a 2 F n Z S 5 4 b W w g o h g A K K A U A A A A A A A A A A A A A A A A A A A A A A A A A A A A h Y 9 B D o I w F E S v Q r q n L Z g Y J J 8 S 4 1 Y S E 6 N x 2 5 Q K j f A x t A h 3 c + G R v I I Y R d 2 5 n D d v M X O / 3 i A d 6 s q 7 6 N a a B h M S U E 4 8 j a r J D R Y J 6 d z R j 0 g q Y C P V S R b a G 2 W 0 8 W D z h J T O n W P G + r 6 n / Y w 2 b c F C z g N 2 y N Z b V e p a k o 9 s / s u + Q e s k K k 0 E 7 F 9 j R E g D H t F F N K c c 2 A Q h M / g V w n H v s / 2 B s O o q 1 7 V a a P S X O 2 B T B P b + I B 5 Q S w M E F A A C A A g A g Y Y w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G G M F U o i k e 4 D g A A A B E A A A A T A B w A R m 9 y b X V s Y X M v U 2 V j d G l v b j E u b S C i G A A o o B Q A A A A A A A A A A A A A A A A A A A A A A A A A A A A r T k 0 u y c z P U w i G 0 I b W A F B L A Q I t A B Q A A g A I A I G G M F X o I B g o p A A A A P Y A A A A S A A A A A A A A A A A A A A A A A A A A A A B D b 2 5 m a W c v U G F j a 2 F n Z S 5 4 b W x Q S w E C L Q A U A A I A C A C B h j B V D 8 r p q 6 Q A A A D p A A A A E w A A A A A A A A A A A A A A A A D w A A A A W 0 N v b n R l b n R f V H l w Z X N d L n h t b F B L A Q I t A B Q A A g A I A I G G M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+ v Q H v 9 d 9 B T Y x 7 g 6 y L G V Q p A A A A A A I A A A A A A A N m A A D A A A A A E A A A A L S J t H o n b t Z i G d Q 7 8 E r W 2 / s A A A A A B I A A A K A A A A A Q A A A A S u 0 R B l 3 q 1 q Q n R + / Y v P y n H 1 A A A A B A u s 9 x K k U B 1 / O 4 X M o 0 K Q V k f P q z F s z K 7 D a K Z V g F d w i i q d W 4 g V h u C 3 f Q 3 s x 7 G x a c 1 d B f V E a 2 h q U u s Z v O K q f L C h W 4 v u z k C K 5 X 4 q K D B + 0 h j t 9 Z k h Q A A A B M z u p j i h z H x x 3 m D E z p h e j k Q 2 y 6 E w = = < / D a t a M a s h u p > 
</file>

<file path=customXml/itemProps1.xml><?xml version="1.0" encoding="utf-8"?>
<ds:datastoreItem xmlns:ds="http://schemas.openxmlformats.org/officeDocument/2006/customXml" ds:itemID="{A1177155-6C73-4312-A577-E9C3129124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7</vt:i4>
      </vt:variant>
    </vt:vector>
  </HeadingPairs>
  <TitlesOfParts>
    <vt:vector size="25" baseType="lpstr">
      <vt:lpstr>Inputs</vt:lpstr>
      <vt:lpstr>Moment_Calculations</vt:lpstr>
      <vt:lpstr>Moment_Calculations (2)</vt:lpstr>
      <vt:lpstr>Table 5.6.3</vt:lpstr>
      <vt:lpstr>Z-Purlins</vt:lpstr>
      <vt:lpstr>Table 5.2</vt:lpstr>
      <vt:lpstr>Sheet1</vt:lpstr>
      <vt:lpstr>Shear_Calculations</vt:lpstr>
      <vt:lpstr>Welded_Beam</vt:lpstr>
      <vt:lpstr>CHS</vt:lpstr>
      <vt:lpstr>PFC</vt:lpstr>
      <vt:lpstr>RHS</vt:lpstr>
      <vt:lpstr>SHS</vt:lpstr>
      <vt:lpstr>Sheet2</vt:lpstr>
      <vt:lpstr>Universal_Beam</vt:lpstr>
      <vt:lpstr>Universal_Column</vt:lpstr>
      <vt:lpstr>Equal_Angle</vt:lpstr>
      <vt:lpstr>Welded_Column</vt:lpstr>
      <vt:lpstr>Equal_Angle</vt:lpstr>
      <vt:lpstr>PFC</vt:lpstr>
      <vt:lpstr>Universal_Beam</vt:lpstr>
      <vt:lpstr>Universal_Column</vt:lpstr>
      <vt:lpstr>Welded_Beam</vt:lpstr>
      <vt:lpstr>Welded_Column</vt:lpstr>
      <vt:lpstr>φMsx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Duffett</dc:creator>
  <cp:lastModifiedBy>Thomas Duffett</cp:lastModifiedBy>
  <dcterms:created xsi:type="dcterms:W3CDTF">2022-07-08T01:20:43Z</dcterms:created>
  <dcterms:modified xsi:type="dcterms:W3CDTF">2022-09-23T00:31:49Z</dcterms:modified>
</cp:coreProperties>
</file>