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20" yWindow="30" windowWidth="14115" windowHeight="4440"/>
  </bookViews>
  <sheets>
    <sheet name="Datos" sheetId="12" r:id="rId1"/>
    <sheet name="Ejer 1." sheetId="1" r:id="rId2"/>
    <sheet name="Anexo Ejer 1" sheetId="9" r:id="rId3"/>
    <sheet name="Ejer 2." sheetId="2" r:id="rId4"/>
    <sheet name="Ejer. 3" sheetId="3" r:id="rId5"/>
    <sheet name="Ejer 4" sheetId="4" r:id="rId6"/>
    <sheet name="Ejer 5" sheetId="6" r:id="rId7"/>
    <sheet name="Ejer 6" sheetId="8" r:id="rId8"/>
    <sheet name="Ejer 6 (b)" sheetId="10" r:id="rId9"/>
    <sheet name="Ejer 6 (c)" sheetId="11" r:id="rId10"/>
  </sheets>
  <definedNames>
    <definedName name="_xlnm._FilterDatabase" localSheetId="5" hidden="1">'Ejer 4'!$A$20:$G$20</definedName>
  </definedNames>
  <calcPr calcId="144525"/>
</workbook>
</file>

<file path=xl/calcChain.xml><?xml version="1.0" encoding="utf-8"?>
<calcChain xmlns="http://schemas.openxmlformats.org/spreadsheetml/2006/main">
  <c r="B15" i="11" l="1"/>
  <c r="B21" i="11"/>
  <c r="B20" i="11"/>
  <c r="B18" i="11"/>
  <c r="B17" i="11"/>
  <c r="B16" i="11"/>
  <c r="H12" i="11"/>
  <c r="G12" i="11"/>
  <c r="F9" i="10"/>
  <c r="C21" i="10"/>
  <c r="B21" i="10"/>
  <c r="C20" i="10"/>
  <c r="B20" i="10"/>
  <c r="F10" i="10"/>
  <c r="F11" i="10"/>
  <c r="F12" i="10"/>
  <c r="F13" i="10"/>
  <c r="F14" i="10"/>
  <c r="G9" i="10"/>
  <c r="G10" i="10"/>
  <c r="G11" i="10"/>
  <c r="G12" i="10"/>
  <c r="G13" i="10"/>
  <c r="G14" i="10"/>
  <c r="G6" i="10"/>
  <c r="F6" i="10"/>
  <c r="G5" i="10"/>
  <c r="F5" i="10"/>
  <c r="F21" i="10" l="1"/>
  <c r="G21" i="10"/>
  <c r="F20" i="10"/>
  <c r="F26" i="10"/>
  <c r="F24" i="10"/>
  <c r="F22" i="10"/>
  <c r="G20" i="10"/>
  <c r="G26" i="10"/>
  <c r="G24" i="10"/>
  <c r="G22" i="10"/>
  <c r="F27" i="10"/>
  <c r="F25" i="10"/>
  <c r="F23" i="10"/>
  <c r="G27" i="10"/>
  <c r="G25" i="10"/>
  <c r="G23" i="10"/>
  <c r="G36" i="8"/>
  <c r="F36" i="8"/>
  <c r="F35" i="8"/>
  <c r="H29" i="8"/>
  <c r="G29" i="8"/>
  <c r="G28" i="8"/>
  <c r="F29" i="8"/>
  <c r="F28" i="8"/>
  <c r="F27" i="8"/>
  <c r="F22" i="8"/>
  <c r="J22" i="8"/>
  <c r="I22" i="8"/>
  <c r="I21" i="8"/>
  <c r="H22" i="8"/>
  <c r="H21" i="8"/>
  <c r="H20" i="8"/>
  <c r="G22" i="8"/>
  <c r="G21" i="8"/>
  <c r="G19" i="8"/>
  <c r="G20" i="8"/>
  <c r="F21" i="8"/>
  <c r="F20" i="8"/>
  <c r="F19" i="8"/>
  <c r="F18" i="8"/>
  <c r="F17" i="8"/>
  <c r="J21" i="8"/>
  <c r="F6" i="8"/>
  <c r="F7" i="8"/>
  <c r="F8" i="8"/>
  <c r="K11" i="8"/>
  <c r="L12" i="8"/>
  <c r="L13" i="8"/>
  <c r="K13" i="8"/>
  <c r="K12" i="8"/>
  <c r="J12" i="8"/>
  <c r="J13" i="8"/>
  <c r="J11" i="8"/>
  <c r="I11" i="8"/>
  <c r="I12" i="8"/>
  <c r="I13" i="8"/>
  <c r="I10" i="8"/>
  <c r="H10" i="8"/>
  <c r="H11" i="8"/>
  <c r="H12" i="8"/>
  <c r="H13" i="8"/>
  <c r="F9" i="8"/>
  <c r="H9" i="8"/>
  <c r="G8" i="8"/>
  <c r="G9" i="8"/>
  <c r="G10" i="8"/>
  <c r="G11" i="8"/>
  <c r="G12" i="8"/>
  <c r="G13" i="8"/>
  <c r="F10" i="8"/>
  <c r="F11" i="8"/>
  <c r="F12" i="8"/>
  <c r="F13" i="8"/>
  <c r="P47" i="6"/>
  <c r="P46" i="6"/>
  <c r="P45" i="6"/>
  <c r="C30" i="6"/>
  <c r="W96" i="9"/>
  <c r="W95" i="9"/>
  <c r="W92" i="9"/>
  <c r="W91" i="9"/>
  <c r="W88" i="9"/>
  <c r="W87" i="9"/>
  <c r="W84" i="9"/>
  <c r="W83" i="9"/>
  <c r="G81" i="9"/>
  <c r="W80" i="9"/>
  <c r="G80" i="9"/>
  <c r="W79" i="9"/>
  <c r="G77" i="9"/>
  <c r="W76" i="9"/>
  <c r="G76" i="9"/>
  <c r="W75" i="9"/>
  <c r="G73" i="9"/>
  <c r="W72" i="9"/>
  <c r="G72" i="9"/>
  <c r="W71" i="9"/>
  <c r="G69" i="9"/>
  <c r="W68" i="9"/>
  <c r="G68" i="9"/>
  <c r="W67" i="9"/>
  <c r="G65" i="9"/>
  <c r="W64" i="9"/>
  <c r="L64" i="9"/>
  <c r="G64" i="9"/>
  <c r="W63" i="9"/>
  <c r="L63" i="9"/>
  <c r="G61" i="9"/>
  <c r="W60" i="9"/>
  <c r="L60" i="9"/>
  <c r="G60" i="9"/>
  <c r="W59" i="9"/>
  <c r="L59" i="9"/>
  <c r="G57" i="9"/>
  <c r="W56" i="9"/>
  <c r="L56" i="9"/>
  <c r="G56" i="9"/>
  <c r="W55" i="9"/>
  <c r="L55" i="9"/>
  <c r="G53" i="9"/>
  <c r="W52" i="9"/>
  <c r="L52" i="9"/>
  <c r="G52" i="9"/>
  <c r="W51" i="9"/>
  <c r="L51" i="9"/>
  <c r="W48" i="9"/>
  <c r="L48" i="9"/>
  <c r="G48" i="9"/>
  <c r="W47" i="9"/>
  <c r="L47" i="9"/>
  <c r="G47" i="9"/>
  <c r="W44" i="9"/>
  <c r="L44" i="9"/>
  <c r="G44" i="9"/>
  <c r="W43" i="9"/>
  <c r="L43" i="9"/>
  <c r="G43" i="9"/>
  <c r="W40" i="9"/>
  <c r="Q40" i="9"/>
  <c r="L40" i="9"/>
  <c r="G40" i="9"/>
  <c r="W39" i="9"/>
  <c r="Q39" i="9"/>
  <c r="L39" i="9"/>
  <c r="G39" i="9"/>
  <c r="W36" i="9"/>
  <c r="Q36" i="9"/>
  <c r="L36" i="9"/>
  <c r="G36" i="9"/>
  <c r="W35" i="9"/>
  <c r="Q35" i="9"/>
  <c r="L35" i="9"/>
  <c r="G35" i="9"/>
  <c r="W32" i="9"/>
  <c r="Q32" i="9"/>
  <c r="L32" i="9"/>
  <c r="G32" i="9"/>
  <c r="W31" i="9"/>
  <c r="Q31" i="9"/>
  <c r="L31" i="9"/>
  <c r="G31" i="9"/>
  <c r="W28" i="9"/>
  <c r="Q28" i="9"/>
  <c r="L28" i="9"/>
  <c r="G28" i="9"/>
  <c r="W27" i="9"/>
  <c r="Q27" i="9"/>
  <c r="L27" i="9"/>
  <c r="G27" i="9"/>
  <c r="W24" i="9"/>
  <c r="Q24" i="9"/>
  <c r="L24" i="9"/>
  <c r="G24" i="9"/>
  <c r="W23" i="9"/>
  <c r="Q23" i="9"/>
  <c r="L23" i="9"/>
  <c r="G23" i="9"/>
  <c r="W20" i="9"/>
  <c r="Q20" i="9"/>
  <c r="L20" i="9"/>
  <c r="G20" i="9"/>
  <c r="W19" i="9"/>
  <c r="Q19" i="9"/>
  <c r="L19" i="9"/>
  <c r="G19" i="9"/>
  <c r="W16" i="9"/>
  <c r="Q16" i="9"/>
  <c r="L16" i="9"/>
  <c r="G16" i="9"/>
  <c r="W15" i="9"/>
  <c r="Q15" i="9"/>
  <c r="L15" i="9"/>
  <c r="G15" i="9"/>
  <c r="W12" i="9"/>
  <c r="Q12" i="9"/>
  <c r="L12" i="9"/>
  <c r="G12" i="9"/>
  <c r="W11" i="9"/>
  <c r="Q11" i="9"/>
  <c r="L11" i="9"/>
  <c r="G11" i="9"/>
  <c r="W8" i="9"/>
  <c r="Q8" i="9"/>
  <c r="L8" i="9"/>
  <c r="G8" i="9"/>
  <c r="W7" i="9"/>
  <c r="Q7" i="9"/>
  <c r="L7" i="9"/>
  <c r="G7" i="9"/>
  <c r="W4" i="9"/>
  <c r="Q4" i="9"/>
  <c r="L4" i="9"/>
  <c r="G4" i="9"/>
  <c r="W3" i="9"/>
  <c r="Q3" i="9"/>
  <c r="L3" i="9"/>
  <c r="G3" i="9"/>
  <c r="C33" i="6"/>
  <c r="J44" i="6"/>
  <c r="J46" i="6"/>
  <c r="J45" i="6"/>
  <c r="G30" i="6"/>
  <c r="G31" i="6"/>
  <c r="G32" i="6"/>
  <c r="C34" i="6"/>
  <c r="C32" i="6"/>
  <c r="C31" i="6"/>
  <c r="H30" i="6" l="1"/>
  <c r="F30" i="6" s="1"/>
  <c r="H31" i="6"/>
  <c r="F31" i="6" s="1"/>
  <c r="L34" i="6" s="1"/>
  <c r="C53" i="4"/>
  <c r="C54" i="4"/>
  <c r="C55" i="4"/>
  <c r="C56" i="4"/>
  <c r="C57" i="4"/>
  <c r="C58" i="4"/>
  <c r="C59" i="4"/>
  <c r="C52" i="4"/>
  <c r="C60" i="4"/>
  <c r="F54" i="4" s="1"/>
  <c r="F48" i="4"/>
  <c r="F47" i="4"/>
  <c r="F46" i="4"/>
  <c r="F45" i="4"/>
  <c r="F44" i="4"/>
  <c r="F43" i="4"/>
  <c r="F42" i="4"/>
  <c r="F41" i="4"/>
  <c r="K13" i="2"/>
  <c r="C45" i="6" l="1"/>
  <c r="F45" i="6" s="1"/>
  <c r="I45" i="6"/>
  <c r="I49" i="6" s="1"/>
  <c r="C35" i="6"/>
  <c r="H32" i="6" s="1"/>
  <c r="F32" i="6" s="1"/>
  <c r="L35" i="6" s="1"/>
  <c r="I46" i="6" s="1"/>
  <c r="I50" i="6" s="1"/>
  <c r="L33" i="6"/>
  <c r="C49" i="6"/>
  <c r="C47" i="6"/>
  <c r="F47" i="6" s="1"/>
  <c r="F59" i="4"/>
  <c r="G59" i="4" s="1"/>
  <c r="F57" i="4"/>
  <c r="G57" i="4" s="1"/>
  <c r="F55" i="4"/>
  <c r="G55" i="4" s="1"/>
  <c r="F53" i="4"/>
  <c r="G53" i="4" s="1"/>
  <c r="F52" i="4"/>
  <c r="F58" i="4"/>
  <c r="F56" i="4"/>
  <c r="G58" i="4"/>
  <c r="G56" i="4"/>
  <c r="G54" i="4"/>
  <c r="G52" i="4"/>
  <c r="C29" i="4"/>
  <c r="C22" i="4"/>
  <c r="C23" i="4"/>
  <c r="C24" i="4"/>
  <c r="C25" i="4"/>
  <c r="C26" i="4"/>
  <c r="C27" i="4"/>
  <c r="C28" i="4"/>
  <c r="C21" i="4"/>
  <c r="C44" i="6" l="1"/>
  <c r="I44" i="6"/>
  <c r="I48" i="6" s="1"/>
  <c r="C48" i="6"/>
  <c r="C46" i="6"/>
  <c r="F46" i="6" s="1"/>
  <c r="C50" i="6"/>
  <c r="C51" i="6"/>
  <c r="F51" i="6" s="1"/>
  <c r="F49" i="6"/>
  <c r="F50" i="6"/>
  <c r="F21" i="4"/>
  <c r="G21" i="4" s="1"/>
  <c r="F27" i="4"/>
  <c r="G27" i="4" s="1"/>
  <c r="F25" i="4"/>
  <c r="G25" i="4" s="1"/>
  <c r="F23" i="4"/>
  <c r="G23" i="4" s="1"/>
  <c r="F22" i="4"/>
  <c r="G22" i="4" s="1"/>
  <c r="F28" i="4"/>
  <c r="G28" i="4" s="1"/>
  <c r="F26" i="4"/>
  <c r="G26" i="4" s="1"/>
  <c r="F24" i="4"/>
  <c r="G24" i="4" s="1"/>
  <c r="F44" i="6" l="1"/>
  <c r="L46" i="6"/>
  <c r="Q46" i="6" s="1"/>
  <c r="O46" i="6" s="1"/>
  <c r="F48" i="6"/>
  <c r="H24" i="3"/>
  <c r="B24" i="3"/>
  <c r="H21" i="3"/>
  <c r="B21" i="3"/>
  <c r="E24" i="3"/>
  <c r="L24" i="3" s="1"/>
  <c r="J24" i="3"/>
  <c r="J21" i="3"/>
  <c r="E21" i="3"/>
  <c r="L21" i="3"/>
  <c r="J13" i="3"/>
  <c r="H13" i="3"/>
  <c r="E13" i="3"/>
  <c r="B13" i="3"/>
  <c r="L13" i="3" s="1"/>
  <c r="J10" i="3"/>
  <c r="H10" i="3"/>
  <c r="E10" i="3"/>
  <c r="B10" i="3"/>
  <c r="L10" i="3" s="1"/>
  <c r="B59" i="2"/>
  <c r="B58" i="2"/>
  <c r="B54" i="2"/>
  <c r="E54" i="2" s="1"/>
  <c r="F54" i="2" s="1"/>
  <c r="G54" i="2" s="1"/>
  <c r="B53" i="2"/>
  <c r="E59" i="2"/>
  <c r="F59" i="2" s="1"/>
  <c r="G59" i="2" s="1"/>
  <c r="K58" i="2"/>
  <c r="E58" i="2"/>
  <c r="F58" i="2" s="1"/>
  <c r="G58" i="2" s="1"/>
  <c r="K53" i="2"/>
  <c r="E53" i="2"/>
  <c r="F53" i="2" s="1"/>
  <c r="G53" i="2" s="1"/>
  <c r="C53" i="2"/>
  <c r="D53" i="2" s="1"/>
  <c r="B49" i="2"/>
  <c r="E49" i="2" s="1"/>
  <c r="F49" i="2" s="1"/>
  <c r="G49" i="2" s="1"/>
  <c r="B48" i="2"/>
  <c r="K43" i="2"/>
  <c r="B44" i="2"/>
  <c r="E44" i="2" s="1"/>
  <c r="F44" i="2" s="1"/>
  <c r="G44" i="2" s="1"/>
  <c r="B43" i="2"/>
  <c r="C43" i="2" s="1"/>
  <c r="D43" i="2" s="1"/>
  <c r="K48" i="2"/>
  <c r="E48" i="2"/>
  <c r="F48" i="2" s="1"/>
  <c r="G48" i="2" s="1"/>
  <c r="K38" i="2"/>
  <c r="B39" i="2"/>
  <c r="B38" i="2"/>
  <c r="K33" i="2"/>
  <c r="B34" i="2"/>
  <c r="E34" i="2" s="1"/>
  <c r="F34" i="2" s="1"/>
  <c r="G34" i="2" s="1"/>
  <c r="B33" i="2"/>
  <c r="E33" i="2" s="1"/>
  <c r="F33" i="2" s="1"/>
  <c r="G33" i="2" s="1"/>
  <c r="K28" i="2"/>
  <c r="B29" i="2"/>
  <c r="B28" i="2"/>
  <c r="E39" i="2"/>
  <c r="F39" i="2" s="1"/>
  <c r="G39" i="2" s="1"/>
  <c r="E38" i="2"/>
  <c r="F38" i="2" s="1"/>
  <c r="G38" i="2" s="1"/>
  <c r="C33" i="2"/>
  <c r="D33" i="2" s="1"/>
  <c r="E29" i="2"/>
  <c r="F29" i="2" s="1"/>
  <c r="G29" i="2" s="1"/>
  <c r="C29" i="2"/>
  <c r="D29" i="2" s="1"/>
  <c r="K23" i="2"/>
  <c r="B24" i="2"/>
  <c r="C24" i="2" s="1"/>
  <c r="D24" i="2" s="1"/>
  <c r="B23" i="2"/>
  <c r="E24" i="2"/>
  <c r="F24" i="2" s="1"/>
  <c r="G24" i="2" s="1"/>
  <c r="K18" i="2"/>
  <c r="C19" i="2"/>
  <c r="D19" i="2" s="1"/>
  <c r="B18" i="2"/>
  <c r="E18" i="2" s="1"/>
  <c r="F18" i="2" s="1"/>
  <c r="G18" i="2" s="1"/>
  <c r="B14" i="2"/>
  <c r="E14" i="2" s="1"/>
  <c r="F14" i="2" s="1"/>
  <c r="G14" i="2" s="1"/>
  <c r="B13" i="2"/>
  <c r="E13" i="2" s="1"/>
  <c r="F13" i="2" s="1"/>
  <c r="G13" i="2" s="1"/>
  <c r="E19" i="2"/>
  <c r="F19" i="2" s="1"/>
  <c r="G19" i="2" s="1"/>
  <c r="C18" i="2"/>
  <c r="D18" i="2" s="1"/>
  <c r="B8" i="2"/>
  <c r="C8" i="2" s="1"/>
  <c r="D8" i="2" s="1"/>
  <c r="B9" i="2"/>
  <c r="E9" i="2" s="1"/>
  <c r="F9" i="2" s="1"/>
  <c r="G9" i="2" s="1"/>
  <c r="C9" i="2"/>
  <c r="D9" i="2" s="1"/>
  <c r="L45" i="6" l="1"/>
  <c r="Q45" i="6" s="1"/>
  <c r="O45" i="6" s="1"/>
  <c r="L47" i="6" s="1"/>
  <c r="Q47" i="6" s="1"/>
  <c r="O47" i="6" s="1"/>
  <c r="L50" i="6" s="1"/>
  <c r="E28" i="2"/>
  <c r="F28" i="2" s="1"/>
  <c r="G28" i="2" s="1"/>
  <c r="I28" i="2"/>
  <c r="I53" i="2"/>
  <c r="C34" i="2"/>
  <c r="D34" i="2" s="1"/>
  <c r="E8" i="2"/>
  <c r="F8" i="2" s="1"/>
  <c r="G8" i="2" s="1"/>
  <c r="C13" i="2"/>
  <c r="D13" i="2" s="1"/>
  <c r="I13" i="2" s="1"/>
  <c r="I18" i="2"/>
  <c r="I8" i="2"/>
  <c r="I33" i="2"/>
  <c r="C54" i="2"/>
  <c r="D54" i="2" s="1"/>
  <c r="C58" i="2"/>
  <c r="D58" i="2" s="1"/>
  <c r="I58" i="2" s="1"/>
  <c r="M53" i="2" s="1"/>
  <c r="C59" i="2"/>
  <c r="D59" i="2" s="1"/>
  <c r="E43" i="2"/>
  <c r="F43" i="2" s="1"/>
  <c r="G43" i="2" s="1"/>
  <c r="C44" i="2"/>
  <c r="D44" i="2" s="1"/>
  <c r="C48" i="2"/>
  <c r="D48" i="2" s="1"/>
  <c r="I48" i="2" s="1"/>
  <c r="C49" i="2"/>
  <c r="D49" i="2" s="1"/>
  <c r="C28" i="2"/>
  <c r="D28" i="2" s="1"/>
  <c r="C38" i="2"/>
  <c r="D38" i="2" s="1"/>
  <c r="I38" i="2" s="1"/>
  <c r="C39" i="2"/>
  <c r="D39" i="2" s="1"/>
  <c r="C23" i="2"/>
  <c r="D23" i="2" s="1"/>
  <c r="E23" i="2"/>
  <c r="F23" i="2" s="1"/>
  <c r="G23" i="2" s="1"/>
  <c r="C14" i="2"/>
  <c r="D14" i="2" s="1"/>
  <c r="M13" i="2" l="1"/>
  <c r="I23" i="2"/>
  <c r="I43" i="2"/>
  <c r="M43" i="2" s="1"/>
  <c r="M28" i="2"/>
</calcChain>
</file>

<file path=xl/sharedStrings.xml><?xml version="1.0" encoding="utf-8"?>
<sst xmlns="http://schemas.openxmlformats.org/spreadsheetml/2006/main" count="1108" uniqueCount="258">
  <si>
    <t>I={sunny, overcast, rain, Talta, Tmedia, Tfrìa, Ha, Hn, True, False}</t>
  </si>
  <si>
    <t>Outlook</t>
  </si>
  <si>
    <t>Temperature</t>
  </si>
  <si>
    <t>Humidity</t>
  </si>
  <si>
    <t>Wind</t>
  </si>
  <si>
    <t>Play</t>
  </si>
  <si>
    <t>Sunny</t>
  </si>
  <si>
    <t>Overcast</t>
  </si>
  <si>
    <t>Rain</t>
  </si>
  <si>
    <t>FALSE</t>
  </si>
  <si>
    <t>TRUE</t>
  </si>
  <si>
    <t>NO</t>
  </si>
  <si>
    <t>YES</t>
  </si>
  <si>
    <t>ALTA</t>
  </si>
  <si>
    <t>MEDIA</t>
  </si>
  <si>
    <t>FRIA</t>
  </si>
  <si>
    <t>NORMAL</t>
  </si>
  <si>
    <t>cobertura</t>
  </si>
  <si>
    <t>confianza</t>
  </si>
  <si>
    <t>yes</t>
  </si>
  <si>
    <t>m</t>
  </si>
  <si>
    <t>pi</t>
  </si>
  <si>
    <t>1/pi</t>
  </si>
  <si>
    <t>1-Pi</t>
  </si>
  <si>
    <t>E(H(x))</t>
  </si>
  <si>
    <t>no</t>
  </si>
  <si>
    <t>T1/T</t>
  </si>
  <si>
    <t>1/(1-pi)</t>
  </si>
  <si>
    <t>H2=log2(1/1-pi)</t>
  </si>
  <si>
    <t>T2/T</t>
  </si>
  <si>
    <t>Raiz</t>
  </si>
  <si>
    <t>Temperatura Alta</t>
  </si>
  <si>
    <t>Temperatura Media</t>
  </si>
  <si>
    <t>Temperatura Fría</t>
  </si>
  <si>
    <t>Humedad Alta</t>
  </si>
  <si>
    <t>Humedad Normal</t>
  </si>
  <si>
    <t>False</t>
  </si>
  <si>
    <t>True</t>
  </si>
  <si>
    <t xml:space="preserve"> </t>
  </si>
  <si>
    <t>rain</t>
  </si>
  <si>
    <t>Humedity</t>
  </si>
  <si>
    <t>x=</t>
  </si>
  <si>
    <t>P(x/Play=yes)</t>
  </si>
  <si>
    <t>y=</t>
  </si>
  <si>
    <t>outlook</t>
  </si>
  <si>
    <t>P(Outlook=rain/yes)*P(temperature=Media/yes)*P(Humedity=Alta/yes)*P(wind=True/Yes)</t>
  </si>
  <si>
    <t>P(x/Play=no)</t>
  </si>
  <si>
    <t>P(Outlook=rain/no)*P(temperature=Media/no)*P(Humedity=Alta/no)*P(wind=True/no)</t>
  </si>
  <si>
    <t>sunny</t>
  </si>
  <si>
    <t>P(Outlook=sunny/yes)*P(temperature=Media/yes)*P(Humedity=Normal/yes)*P(wind=True/Yes)</t>
  </si>
  <si>
    <t>P(Outlook=sunny/no)*P(temperature=Media/no)*P(Humedity=Normal/no)*P(wind=True/no)</t>
  </si>
  <si>
    <t>Instancia</t>
  </si>
  <si>
    <t>a1</t>
  </si>
  <si>
    <t>a2</t>
  </si>
  <si>
    <t>a3</t>
  </si>
  <si>
    <t>clase</t>
  </si>
  <si>
    <t>+</t>
  </si>
  <si>
    <t>-</t>
  </si>
  <si>
    <t>distancia</t>
  </si>
  <si>
    <t>k=3</t>
  </si>
  <si>
    <t>t1</t>
  </si>
  <si>
    <t>k</t>
  </si>
  <si>
    <t>k por clase</t>
  </si>
  <si>
    <t>x1</t>
  </si>
  <si>
    <t>x2</t>
  </si>
  <si>
    <t>x3</t>
  </si>
  <si>
    <t>x4</t>
  </si>
  <si>
    <t>x5</t>
  </si>
  <si>
    <t>x6</t>
  </si>
  <si>
    <t>x7</t>
  </si>
  <si>
    <t>x8</t>
  </si>
  <si>
    <t>1)Reglas de Asociación</t>
  </si>
  <si>
    <t>a)¿Qué pre-procesamiento haría a los datos en la siguiente tabla para encontrar patrones frecuentes y reglas de asociación?</t>
  </si>
  <si>
    <t>Se transformaron los valores de los atirbutos "Temperature" se le asignó una clasificación de acuerdo al intervalo de temperatura; si la temperatura era mayor que 80 se le asigno "ALTA", si estaba entre 70 y 79 era "MEDIA" y si era menor que 70 su clasificación fue de "FRIA".
Para "Humidity" se le asignó la clasificación de "ALTA" si era igual o mayor de 80 y para "NORMAL" menor a 80.</t>
  </si>
  <si>
    <t>I={Sunny, Overcast, Rain, Temperature Alta, Temperature Media, Temperature Fría, Humadity Alta, Humadity Fría, FALSE, TRUE}</t>
  </si>
  <si>
    <t>b)Encuentre las reglas de asociación con cobertura mínima de 0.25 y una confianza mínima de  0.9 para un consecuente en la regla de PLAY=NO y PLAY=YES.</t>
  </si>
  <si>
    <t>2. Árboles de decisión</t>
  </si>
  <si>
    <t>a)Elabore un árbol de decisión (no necesariamente binario) utilizando el criterio de la entriopía para seleccionar el atributo que mejor convenga para la partición en el nodo raíz.
El atributo objetivo es PLAY.</t>
  </si>
  <si>
    <t>H1=log2(1/pi)</t>
  </si>
  <si>
    <r>
      <t xml:space="preserve">Así que se selecciona el nodo raíz "Outlook" ya que es ek nudo cuyo valor de la entripía es el mínimo con un valor de </t>
    </r>
    <r>
      <rPr>
        <b/>
        <sz val="16"/>
        <color theme="1"/>
        <rFont val="Century Gothic"/>
        <family val="2"/>
        <scheme val="minor"/>
      </rPr>
      <t>.6935</t>
    </r>
  </si>
  <si>
    <t>b)Utilice el modelo para dar una predicción para la tupla:</t>
  </si>
  <si>
    <t>*(Outlook=rain, Temerature=73, humedity=82, Wind=TRUE)</t>
  </si>
  <si>
    <t>Por lo tanto el pronóstico para PLAY= NO</t>
  </si>
  <si>
    <t>*(Outlook=Overcast, Temerature=73, humedity=82, Wind=TRUE)</t>
  </si>
  <si>
    <t>Por lo tanto el pronóstico para PLAY= YES</t>
  </si>
  <si>
    <t>2. Clasificador Ingenuo de Bayes</t>
  </si>
  <si>
    <t>a)¿Cuál es su predicción para las siguientes tuplas:</t>
  </si>
  <si>
    <t>*(Outlook=rain, Temperature=73, Humedity=82, Wind=TRUE)</t>
  </si>
  <si>
    <t>Máx{ 0.0219, 0.0768}</t>
  </si>
  <si>
    <t>Por lo tanto la predicción para PLAY es NO</t>
  </si>
  <si>
    <t>Máx{ 0.0183, 0.0288}</t>
  </si>
  <si>
    <t>b)Indique las ventajas y/o desventajas de las técnicas: árboles de decisión y clasificador ingenuo de Bayes.</t>
  </si>
  <si>
    <t>I. Utilice los siguientes datos para realizar los ejercicios 1,2,3.</t>
  </si>
  <si>
    <t>I. Utilice los siguientes datos para realizar los ejercicios 4,5 y 6</t>
  </si>
  <si>
    <t xml:space="preserve">a)Utilizando las primeras 8 instancias como datos de entrenamiento, cuál es su predicción para la instancia 9 utilizando K-NN, modo reagrupamiento general.
Realice una propuesta para el valor de K.
</t>
  </si>
  <si>
    <t>1. Se normaliza a2 y se calculan las distancias.</t>
  </si>
  <si>
    <t>Si se propone K=3 entonces las clase de tupla 9 es Cero</t>
  </si>
  <si>
    <t>*Se revisa e RapidMiner y se obtiene la clase =0 en la tupla 9.</t>
  </si>
  <si>
    <t xml:space="preserve">b)Con el mismo valor de k trabaje ahora en modo reagrupamiento por clase. ¿Cuál es su predicción?
</t>
  </si>
  <si>
    <t>Se selecciona el mínimo con K=3 pr lo tanto la tupla 9 es 1.</t>
  </si>
  <si>
    <t>4. K-NN</t>
  </si>
  <si>
    <t>4. BPNN</t>
  </si>
  <si>
    <t xml:space="preserve">a)Proponga una topología de red neuronal, proponga pesos, tetas iniciales y tasa de aprendizaje.
</t>
  </si>
  <si>
    <t>ÁRBOLES DE DECISIÓN</t>
  </si>
  <si>
    <t>VENTAJAS</t>
  </si>
  <si>
    <t>• Dan claridad al problema, al expresarlo de manera gráfica.</t>
  </si>
  <si>
    <t>• Permiten analizar, de manera exhaustiva, las posibles consecuencias de una serie de decisiones.</t>
  </si>
  <si>
    <t>• Permiten una metodología para cuantificar los valores de los resultados y las probabilidades de alcanzarlos.</t>
  </si>
  <si>
    <t>• Ayudan a tomar las mejores decisiones en base a la información.</t>
  </si>
  <si>
    <t>• Pueden ser usados junto con el sentido común.</t>
  </si>
  <si>
    <t>DESVENTAJAS</t>
  </si>
  <si>
    <t>• Pueden alcanzar un tamaño considerable, lo cual puede complicar el análisis.</t>
  </si>
  <si>
    <t>• El cálculo de probabilidades para los eventos inciertos sigue siendo subjetivo, por lo que se recomienda explorar los distintos resultados, haciendo un análisis de sensibilidad.</t>
  </si>
  <si>
    <t>• Las reglas de asignación son bastante sencillas a pequeñas perturbaciones en los datos.</t>
  </si>
  <si>
    <t>• Ausencia de una función global de las variables y por lo tanto pérdida de la representación.</t>
  </si>
  <si>
    <t>• Los árboles de decisión requieren un gran número de datos de los que muchas veces no disponemos.</t>
  </si>
  <si>
    <t>• Facilita la interpretación de la decisión adoptada.</t>
  </si>
  <si>
    <t>• Plantea el problema para que todas las opciones sean analizadas.</t>
  </si>
  <si>
    <t>CLASIFICADOR INGENUO DE BAYES</t>
  </si>
  <si>
    <t>•  Asume una independencia de las caracteristicas.</t>
  </si>
  <si>
    <t xml:space="preserve">• Rápido de entrenar/Rápido de clasificar </t>
  </si>
  <si>
    <t xml:space="preserve">• No es sensitivo a caracteristicas poco relevantes. </t>
  </si>
  <si>
    <t>•  No tiene problema manejando flujos de datos continuos.</t>
  </si>
  <si>
    <t xml:space="preserve">• Maneja informacion discreta y subjetiva </t>
  </si>
  <si>
    <t>• Obtiene buenos resultados en gran parte de las cosas.</t>
  </si>
  <si>
    <t>•  Redes de creencias bayesianas, que combinan razonamiento bayesiano con relaciones causales entre los atributos.</t>
  </si>
  <si>
    <t>• Usa todos atributos del conjunto de datos , por lo que es muy sensible a la presencia de variables redundantes.</t>
  </si>
  <si>
    <t>a1-&gt;</t>
  </si>
  <si>
    <t>Clase</t>
  </si>
  <si>
    <r>
      <t>ᶿ</t>
    </r>
    <r>
      <rPr>
        <vertAlign val="subscript"/>
        <sz val="16"/>
        <color theme="0"/>
        <rFont val="Calibri"/>
        <family val="2"/>
      </rPr>
      <t>4</t>
    </r>
  </si>
  <si>
    <r>
      <t>ᶿ</t>
    </r>
    <r>
      <rPr>
        <vertAlign val="subscript"/>
        <sz val="16"/>
        <color theme="0"/>
        <rFont val="Calibri"/>
        <family val="2"/>
      </rPr>
      <t>5</t>
    </r>
  </si>
  <si>
    <r>
      <t>ᶿ</t>
    </r>
    <r>
      <rPr>
        <vertAlign val="subscript"/>
        <sz val="16"/>
        <color theme="0"/>
        <rFont val="Calibri"/>
        <family val="2"/>
      </rPr>
      <t>6</t>
    </r>
  </si>
  <si>
    <r>
      <t>W</t>
    </r>
    <r>
      <rPr>
        <vertAlign val="subscript"/>
        <sz val="14"/>
        <color theme="0"/>
        <rFont val="Calibri"/>
        <family val="2"/>
      </rPr>
      <t>14</t>
    </r>
  </si>
  <si>
    <r>
      <t>W</t>
    </r>
    <r>
      <rPr>
        <vertAlign val="subscript"/>
        <sz val="14"/>
        <color theme="0"/>
        <rFont val="Calibri"/>
        <family val="2"/>
      </rPr>
      <t>15</t>
    </r>
  </si>
  <si>
    <r>
      <t>W</t>
    </r>
    <r>
      <rPr>
        <vertAlign val="subscript"/>
        <sz val="14"/>
        <color theme="0"/>
        <rFont val="Calibri"/>
        <family val="2"/>
      </rPr>
      <t>24</t>
    </r>
  </si>
  <si>
    <r>
      <t>W</t>
    </r>
    <r>
      <rPr>
        <vertAlign val="subscript"/>
        <sz val="14"/>
        <color theme="0"/>
        <rFont val="Calibri"/>
        <family val="2"/>
      </rPr>
      <t>25</t>
    </r>
  </si>
  <si>
    <r>
      <t>W</t>
    </r>
    <r>
      <rPr>
        <vertAlign val="subscript"/>
        <sz val="14"/>
        <color theme="0"/>
        <rFont val="Calibri"/>
        <family val="2"/>
      </rPr>
      <t>34</t>
    </r>
  </si>
  <si>
    <r>
      <t>W</t>
    </r>
    <r>
      <rPr>
        <vertAlign val="subscript"/>
        <sz val="14"/>
        <color theme="0"/>
        <rFont val="Calibri"/>
        <family val="2"/>
      </rPr>
      <t>35</t>
    </r>
  </si>
  <si>
    <r>
      <t>W</t>
    </r>
    <r>
      <rPr>
        <vertAlign val="subscript"/>
        <sz val="14"/>
        <color theme="0"/>
        <rFont val="Calibri"/>
        <family val="2"/>
      </rPr>
      <t>46</t>
    </r>
  </si>
  <si>
    <r>
      <t>W</t>
    </r>
    <r>
      <rPr>
        <vertAlign val="subscript"/>
        <sz val="14"/>
        <color theme="0"/>
        <rFont val="Calibri"/>
        <family val="2"/>
      </rPr>
      <t>56</t>
    </r>
  </si>
  <si>
    <t>T</t>
  </si>
  <si>
    <r>
      <t>O</t>
    </r>
    <r>
      <rPr>
        <b/>
        <vertAlign val="subscript"/>
        <sz val="14"/>
        <color theme="6" tint="-0.499984740745262"/>
        <rFont val="Calibri"/>
        <family val="2"/>
      </rPr>
      <t>1</t>
    </r>
  </si>
  <si>
    <r>
      <t>O</t>
    </r>
    <r>
      <rPr>
        <b/>
        <vertAlign val="subscript"/>
        <sz val="14"/>
        <color theme="6" tint="-0.499984740745262"/>
        <rFont val="Calibri"/>
        <family val="2"/>
      </rPr>
      <t>2</t>
    </r>
  </si>
  <si>
    <r>
      <t>O</t>
    </r>
    <r>
      <rPr>
        <b/>
        <vertAlign val="subscript"/>
        <sz val="14"/>
        <color theme="6" tint="-0.499984740745262"/>
        <rFont val="Calibri"/>
        <family val="2"/>
      </rPr>
      <t>3</t>
    </r>
  </si>
  <si>
    <r>
      <t>ᶿ</t>
    </r>
    <r>
      <rPr>
        <b/>
        <vertAlign val="subscript"/>
        <sz val="16"/>
        <color rgb="FFC00000"/>
        <rFont val="Calibri"/>
        <family val="2"/>
      </rPr>
      <t>4</t>
    </r>
  </si>
  <si>
    <r>
      <t>ᶿ</t>
    </r>
    <r>
      <rPr>
        <vertAlign val="subscript"/>
        <sz val="16"/>
        <color rgb="FFC00000"/>
        <rFont val="Calibri"/>
        <family val="2"/>
      </rPr>
      <t>6</t>
    </r>
  </si>
  <si>
    <t xml:space="preserve">b)Realice el pre-procesamiento necesario a las columnas a1, a2 y a3 para trabajar atributos binomiales.
</t>
  </si>
  <si>
    <t xml:space="preserve">c) Escoja una de las tuplas, aliméntela a su red, retro-propague el error e indique los nuevos pesos.
</t>
  </si>
  <si>
    <t>Estancia 4</t>
  </si>
  <si>
    <t>Normalizada</t>
  </si>
  <si>
    <r>
      <t>O</t>
    </r>
    <r>
      <rPr>
        <vertAlign val="subscript"/>
        <sz val="18"/>
        <color theme="1"/>
        <rFont val="Calibri"/>
        <family val="2"/>
      </rPr>
      <t>j</t>
    </r>
    <r>
      <rPr>
        <sz val="18"/>
        <color theme="1"/>
        <rFont val="Calibri"/>
        <family val="2"/>
      </rPr>
      <t>=I</t>
    </r>
    <r>
      <rPr>
        <vertAlign val="subscript"/>
        <sz val="18"/>
        <color theme="1"/>
        <rFont val="Calibri"/>
        <family val="2"/>
      </rPr>
      <t>j</t>
    </r>
  </si>
  <si>
    <r>
      <t>Err</t>
    </r>
    <r>
      <rPr>
        <vertAlign val="subscript"/>
        <sz val="18"/>
        <color theme="1"/>
        <rFont val="Calibri"/>
        <family val="2"/>
      </rPr>
      <t>6=</t>
    </r>
  </si>
  <si>
    <t>Retro-propagación</t>
  </si>
  <si>
    <t>L=</t>
  </si>
  <si>
    <r>
      <t>∆</t>
    </r>
    <r>
      <rPr>
        <vertAlign val="subscript"/>
        <sz val="14"/>
        <color theme="1"/>
        <rFont val="Calibri"/>
        <family val="2"/>
      </rPr>
      <t>14=</t>
    </r>
  </si>
  <si>
    <r>
      <t>∆</t>
    </r>
    <r>
      <rPr>
        <vertAlign val="subscript"/>
        <sz val="14"/>
        <color theme="1"/>
        <rFont val="Calibri"/>
        <family val="2"/>
      </rPr>
      <t>15=</t>
    </r>
  </si>
  <si>
    <r>
      <t>∆</t>
    </r>
    <r>
      <rPr>
        <vertAlign val="subscript"/>
        <sz val="14"/>
        <color theme="1"/>
        <rFont val="Calibri"/>
        <family val="2"/>
      </rPr>
      <t>24=</t>
    </r>
  </si>
  <si>
    <r>
      <t>∆</t>
    </r>
    <r>
      <rPr>
        <vertAlign val="subscript"/>
        <sz val="14"/>
        <color theme="1"/>
        <rFont val="Calibri"/>
        <family val="2"/>
      </rPr>
      <t>25=</t>
    </r>
  </si>
  <si>
    <r>
      <t>∆</t>
    </r>
    <r>
      <rPr>
        <vertAlign val="subscript"/>
        <sz val="14"/>
        <color theme="1"/>
        <rFont val="Calibri"/>
        <family val="2"/>
      </rPr>
      <t>34=</t>
    </r>
  </si>
  <si>
    <r>
      <t>∆</t>
    </r>
    <r>
      <rPr>
        <vertAlign val="subscript"/>
        <sz val="14"/>
        <color theme="1"/>
        <rFont val="Calibri"/>
        <family val="2"/>
      </rPr>
      <t>35=</t>
    </r>
  </si>
  <si>
    <r>
      <t>∆</t>
    </r>
    <r>
      <rPr>
        <vertAlign val="subscript"/>
        <sz val="14"/>
        <color theme="1"/>
        <rFont val="Calibri"/>
        <family val="2"/>
      </rPr>
      <t>46=</t>
    </r>
  </si>
  <si>
    <r>
      <t>∆</t>
    </r>
    <r>
      <rPr>
        <vertAlign val="subscript"/>
        <sz val="14"/>
        <color theme="1"/>
        <rFont val="Calibri"/>
        <family val="2"/>
      </rPr>
      <t>56=</t>
    </r>
  </si>
  <si>
    <t>∆W'14=</t>
  </si>
  <si>
    <r>
      <t>∆W'</t>
    </r>
    <r>
      <rPr>
        <vertAlign val="subscript"/>
        <sz val="14"/>
        <color theme="1"/>
        <rFont val="Calibri"/>
        <family val="2"/>
      </rPr>
      <t>15=</t>
    </r>
  </si>
  <si>
    <r>
      <t>∆W'</t>
    </r>
    <r>
      <rPr>
        <vertAlign val="subscript"/>
        <sz val="14"/>
        <color theme="1"/>
        <rFont val="Calibri"/>
        <family val="2"/>
      </rPr>
      <t>24=</t>
    </r>
  </si>
  <si>
    <r>
      <t>∆W'</t>
    </r>
    <r>
      <rPr>
        <vertAlign val="subscript"/>
        <sz val="14"/>
        <color theme="1"/>
        <rFont val="Calibri"/>
        <family val="2"/>
      </rPr>
      <t>25=</t>
    </r>
  </si>
  <si>
    <r>
      <t>∆W'</t>
    </r>
    <r>
      <rPr>
        <vertAlign val="subscript"/>
        <sz val="14"/>
        <color theme="1"/>
        <rFont val="Calibri"/>
        <family val="2"/>
      </rPr>
      <t>34=</t>
    </r>
  </si>
  <si>
    <r>
      <t>∆W'</t>
    </r>
    <r>
      <rPr>
        <vertAlign val="subscript"/>
        <sz val="14"/>
        <color theme="1"/>
        <rFont val="Calibri"/>
        <family val="2"/>
      </rPr>
      <t>35=</t>
    </r>
  </si>
  <si>
    <r>
      <t>∆W'</t>
    </r>
    <r>
      <rPr>
        <vertAlign val="subscript"/>
        <sz val="14"/>
        <color theme="1"/>
        <rFont val="Calibri"/>
        <family val="2"/>
      </rPr>
      <t>46=</t>
    </r>
  </si>
  <si>
    <r>
      <t>∆W'</t>
    </r>
    <r>
      <rPr>
        <vertAlign val="subscript"/>
        <sz val="14"/>
        <color theme="1"/>
        <rFont val="Calibri"/>
        <family val="2"/>
      </rPr>
      <t>56=</t>
    </r>
  </si>
  <si>
    <r>
      <t>Err</t>
    </r>
    <r>
      <rPr>
        <vertAlign val="subscript"/>
        <sz val="18"/>
        <color theme="1"/>
        <rFont val="Calibri"/>
        <family val="2"/>
      </rPr>
      <t>5=</t>
    </r>
  </si>
  <si>
    <r>
      <t>Err</t>
    </r>
    <r>
      <rPr>
        <vertAlign val="subscript"/>
        <sz val="18"/>
        <color theme="1"/>
        <rFont val="Calibri"/>
        <family val="2"/>
      </rPr>
      <t>4=</t>
    </r>
  </si>
  <si>
    <r>
      <t>I</t>
    </r>
    <r>
      <rPr>
        <b/>
        <vertAlign val="subscript"/>
        <sz val="18"/>
        <color theme="1"/>
        <rFont val="Calibri"/>
        <family val="2"/>
      </rPr>
      <t>1=</t>
    </r>
  </si>
  <si>
    <r>
      <t>I</t>
    </r>
    <r>
      <rPr>
        <b/>
        <vertAlign val="subscript"/>
        <sz val="18"/>
        <color theme="1"/>
        <rFont val="Calibri"/>
        <family val="2"/>
      </rPr>
      <t>2=</t>
    </r>
  </si>
  <si>
    <r>
      <t>I</t>
    </r>
    <r>
      <rPr>
        <b/>
        <vertAlign val="subscript"/>
        <sz val="18"/>
        <color theme="1"/>
        <rFont val="Calibri"/>
        <family val="2"/>
      </rPr>
      <t>3=</t>
    </r>
  </si>
  <si>
    <r>
      <t>I</t>
    </r>
    <r>
      <rPr>
        <b/>
        <vertAlign val="subscript"/>
        <sz val="18"/>
        <color theme="1"/>
        <rFont val="Calibri"/>
        <family val="2"/>
      </rPr>
      <t>4=</t>
    </r>
  </si>
  <si>
    <r>
      <t>I</t>
    </r>
    <r>
      <rPr>
        <b/>
        <vertAlign val="subscript"/>
        <sz val="18"/>
        <color theme="1"/>
        <rFont val="Calibri"/>
        <family val="2"/>
      </rPr>
      <t>5=</t>
    </r>
  </si>
  <si>
    <r>
      <t>I</t>
    </r>
    <r>
      <rPr>
        <b/>
        <vertAlign val="subscript"/>
        <sz val="18"/>
        <color theme="1"/>
        <rFont val="Calibri"/>
        <family val="2"/>
      </rPr>
      <t>6=</t>
    </r>
  </si>
  <si>
    <r>
      <t>O</t>
    </r>
    <r>
      <rPr>
        <b/>
        <vertAlign val="subscript"/>
        <sz val="18"/>
        <color theme="6" tint="-0.499984740745262"/>
        <rFont val="Calibri"/>
        <family val="2"/>
      </rPr>
      <t>4 =</t>
    </r>
  </si>
  <si>
    <r>
      <t>O</t>
    </r>
    <r>
      <rPr>
        <b/>
        <vertAlign val="subscript"/>
        <sz val="18"/>
        <color theme="6" tint="-0.499984740745262"/>
        <rFont val="Calibri"/>
        <family val="2"/>
      </rPr>
      <t>5 =</t>
    </r>
  </si>
  <si>
    <r>
      <t>O</t>
    </r>
    <r>
      <rPr>
        <b/>
        <vertAlign val="subscript"/>
        <sz val="18"/>
        <color theme="6" tint="-0.499984740745262"/>
        <rFont val="Calibri"/>
        <family val="2"/>
      </rPr>
      <t>6 =</t>
    </r>
  </si>
  <si>
    <r>
      <t xml:space="preserve">Con los rangos establecidos para Temperature y Humadity la única regla de asociación que se obtiene es </t>
    </r>
    <r>
      <rPr>
        <b/>
        <sz val="14"/>
        <color theme="1"/>
        <rFont val="Century Gothic"/>
        <family val="2"/>
        <scheme val="minor"/>
      </rPr>
      <t xml:space="preserve">Overcast=YES, </t>
    </r>
    <r>
      <rPr>
        <sz val="14"/>
        <color theme="1"/>
        <rFont val="Century Gothic"/>
        <family val="2"/>
        <scheme val="minor"/>
      </rPr>
      <t>ya que es la que cumple con una cobertura mínima de 0.25 y una confianza mínima de 0.9.</t>
    </r>
  </si>
  <si>
    <t xml:space="preserve">1 item </t>
  </si>
  <si>
    <t>2 item</t>
  </si>
  <si>
    <t>3 item</t>
  </si>
  <si>
    <t>4 item</t>
  </si>
  <si>
    <t>overcast</t>
  </si>
  <si>
    <t>true</t>
  </si>
  <si>
    <t>false</t>
  </si>
  <si>
    <t>1. Para el a1 se asigna que +:1 y -: 0.</t>
  </si>
  <si>
    <t>2. Se normaliza a2, se consideran los datos ya normalizados del ejercicio anterior</t>
  </si>
  <si>
    <r>
      <t>∆ᶿ</t>
    </r>
    <r>
      <rPr>
        <vertAlign val="subscript"/>
        <sz val="16"/>
        <color theme="0"/>
        <rFont val="Calibri"/>
        <family val="2"/>
      </rPr>
      <t>4</t>
    </r>
  </si>
  <si>
    <t>3. Los atributos a1, a2, a3 se establecen como unidades de entrada, una capa oculta con 2 unidades y una salida, con una Tasa de aprendizaje de 1</t>
  </si>
  <si>
    <r>
      <t>O</t>
    </r>
    <r>
      <rPr>
        <b/>
        <vertAlign val="subscript"/>
        <sz val="14"/>
        <color theme="6" tint="-0.499984740745262"/>
        <rFont val="Calibri"/>
        <family val="2"/>
      </rPr>
      <t xml:space="preserve">1= </t>
    </r>
    <r>
      <rPr>
        <b/>
        <vertAlign val="subscript"/>
        <sz val="18"/>
        <color theme="6" tint="-0.499984740745262"/>
        <rFont val="Calibri"/>
        <family val="2"/>
      </rPr>
      <t>1</t>
    </r>
  </si>
  <si>
    <r>
      <t>O</t>
    </r>
    <r>
      <rPr>
        <b/>
        <vertAlign val="subscript"/>
        <sz val="14"/>
        <color theme="6" tint="-0.499984740745262"/>
        <rFont val="Calibri"/>
        <family val="2"/>
      </rPr>
      <t>2=</t>
    </r>
    <r>
      <rPr>
        <b/>
        <vertAlign val="subscript"/>
        <sz val="18"/>
        <color theme="6" tint="-0.499984740745262"/>
        <rFont val="Calibri"/>
        <family val="2"/>
      </rPr>
      <t>.19</t>
    </r>
  </si>
  <si>
    <r>
      <t>O</t>
    </r>
    <r>
      <rPr>
        <b/>
        <vertAlign val="subscript"/>
        <sz val="14"/>
        <color theme="6" tint="-0.499984740745262"/>
        <rFont val="Calibri"/>
        <family val="2"/>
      </rPr>
      <t>3=</t>
    </r>
    <r>
      <rPr>
        <b/>
        <vertAlign val="subscript"/>
        <sz val="18"/>
        <color theme="6" tint="-0.499984740745262"/>
        <rFont val="Calibri"/>
        <family val="2"/>
      </rPr>
      <t>.41</t>
    </r>
  </si>
  <si>
    <t>I4=-0.466</t>
  </si>
  <si>
    <r>
      <t>ᶿ</t>
    </r>
    <r>
      <rPr>
        <b/>
        <vertAlign val="subscript"/>
        <sz val="16"/>
        <color rgb="FFC00000"/>
        <rFont val="Calibri"/>
        <family val="2"/>
      </rPr>
      <t>4=.386</t>
    </r>
  </si>
  <si>
    <t>I5=0.220</t>
  </si>
  <si>
    <r>
      <t>ᶿ</t>
    </r>
    <r>
      <rPr>
        <vertAlign val="subscript"/>
        <sz val="16"/>
        <color rgb="FFC00000"/>
        <rFont val="Calibri"/>
        <family val="2"/>
      </rPr>
      <t>6=.555</t>
    </r>
  </si>
  <si>
    <t>I6=0.538</t>
  </si>
  <si>
    <r>
      <t>ᶿ</t>
    </r>
    <r>
      <rPr>
        <vertAlign val="subscript"/>
        <sz val="16"/>
        <color rgb="FFC00000"/>
        <rFont val="Calibri"/>
        <family val="2"/>
      </rPr>
      <t>6=.6331</t>
    </r>
  </si>
  <si>
    <t xml:space="preserve">a)Utilizando sólo las columnas a2 y a3 encuentre dos grupos utilizando el algoritmo de formación de grupos ascendente jerárquico.
</t>
  </si>
  <si>
    <t>x9</t>
  </si>
  <si>
    <t>x10</t>
  </si>
  <si>
    <t>x9= (x3,x7)</t>
  </si>
  <si>
    <t>x10= (x1,x6)</t>
  </si>
  <si>
    <t>x11= (x2, x8)</t>
  </si>
  <si>
    <t>x11</t>
  </si>
  <si>
    <t>x12= (x9,x10)</t>
  </si>
  <si>
    <t>x12</t>
  </si>
  <si>
    <t>x13= (x5,x11)</t>
  </si>
  <si>
    <t>x13</t>
  </si>
  <si>
    <t>x14= (x4x12)</t>
  </si>
  <si>
    <t>x14</t>
  </si>
  <si>
    <t>b)Ahora utilice e algoritmo de K-MEDIAS</t>
  </si>
  <si>
    <t>C1=X1</t>
  </si>
  <si>
    <t>C2=X2</t>
  </si>
  <si>
    <t>k=2</t>
  </si>
  <si>
    <t>C1</t>
  </si>
  <si>
    <t>C2</t>
  </si>
  <si>
    <t>X3</t>
  </si>
  <si>
    <t>X4</t>
  </si>
  <si>
    <t>X5</t>
  </si>
  <si>
    <t>X6</t>
  </si>
  <si>
    <t>X7</t>
  </si>
  <si>
    <t>X8</t>
  </si>
  <si>
    <t>g1:</t>
  </si>
  <si>
    <t>g2:</t>
  </si>
  <si>
    <t>{X1,X3,X4,X6,X7}</t>
  </si>
  <si>
    <t>{X2, X5,X8}</t>
  </si>
  <si>
    <t>C1'</t>
  </si>
  <si>
    <t>C2'</t>
  </si>
  <si>
    <t>X1</t>
  </si>
  <si>
    <t>X2</t>
  </si>
  <si>
    <t>{X1,X2,X3,X4, X5, X6,X7}</t>
  </si>
  <si>
    <t>{0}</t>
  </si>
  <si>
    <t>Debido a que en la segunda iteración todas las X´s se van al grupo 1, entonces se dice que en los grupos 1 y 2, las X's se han estabilizado con respecto a los centroides seleccionados.</t>
  </si>
  <si>
    <t>c)Asigne una etiqueta de clase a los grupos que formó que haga sentido de acuerdo a la columna de clase, utilizando este valor como una predicción, realice una matriz de confusión y una evaluación de desempeño.</t>
  </si>
  <si>
    <t>INSTANCIA</t>
  </si>
  <si>
    <t>CLASE</t>
  </si>
  <si>
    <t>PREDICCIÓN</t>
  </si>
  <si>
    <t>MATRIZ DE CONFUSION</t>
  </si>
  <si>
    <t>Predicción</t>
  </si>
  <si>
    <t>Presición (+)</t>
  </si>
  <si>
    <t>tp</t>
  </si>
  <si>
    <t>fp</t>
  </si>
  <si>
    <t>fn</t>
  </si>
  <si>
    <t>tn</t>
  </si>
  <si>
    <t>Sensitividad</t>
  </si>
  <si>
    <t>Especificidad</t>
  </si>
  <si>
    <t>Accuracy</t>
  </si>
  <si>
    <t>TPR</t>
  </si>
  <si>
    <t>FPR</t>
  </si>
  <si>
    <t>Técnicas Estadísticas y Minería de Datos</t>
  </si>
  <si>
    <t>Minería de Datos</t>
  </si>
  <si>
    <t>Examen</t>
  </si>
  <si>
    <t>Reyna Vargas Antonio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</si>
</sst>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00"/>
    <numFmt numFmtId="165" formatCode="0.00000"/>
    <numFmt numFmtId="166" formatCode="_-* #,##0.0000_-;\-* #,##0.0000_-;_-* &quot;-&quot;??_-;_-@_-"/>
    <numFmt numFmtId="167" formatCode="0.0"/>
  </numFmts>
  <fonts count="50" x14ac:knownFonts="1">
    <font>
      <sz val="11"/>
      <color theme="1"/>
      <name val="Century Gothic"/>
      <family val="2"/>
      <scheme val="minor"/>
    </font>
    <font>
      <sz val="11"/>
      <color theme="1"/>
      <name val="Century Gothic"/>
      <family val="2"/>
      <scheme val="minor"/>
    </font>
    <font>
      <sz val="11"/>
      <color theme="1"/>
      <name val="Marlett"/>
      <charset val="2"/>
    </font>
    <font>
      <b/>
      <sz val="11"/>
      <color rgb="FF00B050"/>
      <name val="Century Gothic"/>
      <family val="2"/>
      <scheme val="minor"/>
    </font>
    <font>
      <b/>
      <sz val="11"/>
      <color theme="6" tint="-0.499984740745262"/>
      <name val="Century Gothic"/>
      <family val="2"/>
      <scheme val="minor"/>
    </font>
    <font>
      <b/>
      <sz val="11"/>
      <color theme="8" tint="-0.499984740745262"/>
      <name val="Century Gothic"/>
      <family val="2"/>
      <scheme val="minor"/>
    </font>
    <font>
      <b/>
      <sz val="11"/>
      <color theme="5" tint="-0.499984740745262"/>
      <name val="Century Gothic"/>
      <family val="2"/>
      <scheme val="minor"/>
    </font>
    <font>
      <b/>
      <sz val="11"/>
      <color theme="0"/>
      <name val="Century Gothic"/>
      <family val="2"/>
      <scheme val="minor"/>
    </font>
    <font>
      <b/>
      <sz val="11"/>
      <color theme="1"/>
      <name val="Century Gothic"/>
      <family val="2"/>
      <scheme val="minor"/>
    </font>
    <font>
      <sz val="11"/>
      <color theme="0"/>
      <name val="Century Gothic"/>
      <family val="2"/>
      <scheme val="minor"/>
    </font>
    <font>
      <sz val="12"/>
      <color theme="1"/>
      <name val="Century Gothic"/>
      <family val="2"/>
      <scheme val="minor"/>
    </font>
    <font>
      <sz val="14"/>
      <color theme="1"/>
      <name val="Century Gothic"/>
      <family val="2"/>
      <scheme val="minor"/>
    </font>
    <font>
      <b/>
      <sz val="14"/>
      <color theme="1"/>
      <name val="Century Gothic"/>
      <family val="2"/>
      <scheme val="minor"/>
    </font>
    <font>
      <b/>
      <sz val="12"/>
      <color rgb="FF0070C0"/>
      <name val="Century Gothic"/>
      <family val="2"/>
      <scheme val="minor"/>
    </font>
    <font>
      <b/>
      <sz val="11"/>
      <color theme="2" tint="-0.89999084444715716"/>
      <name val="Century Gothic"/>
      <family val="2"/>
      <scheme val="minor"/>
    </font>
    <font>
      <sz val="16"/>
      <color rgb="FFFF0000"/>
      <name val="Century Gothic"/>
      <family val="2"/>
      <scheme val="minor"/>
    </font>
    <font>
      <sz val="16"/>
      <color theme="1"/>
      <name val="Century Gothic"/>
      <family val="2"/>
      <scheme val="minor"/>
    </font>
    <font>
      <sz val="16"/>
      <color theme="0"/>
      <name val="Century Gothic"/>
      <family val="2"/>
      <scheme val="minor"/>
    </font>
    <font>
      <sz val="14"/>
      <color theme="0"/>
      <name val="Century Gothic"/>
      <family val="2"/>
      <scheme val="minor"/>
    </font>
    <font>
      <b/>
      <sz val="16"/>
      <color theme="1"/>
      <name val="Century Gothic"/>
      <family val="2"/>
      <scheme val="minor"/>
    </font>
    <font>
      <sz val="12"/>
      <color theme="5" tint="-0.499984740745262"/>
      <name val="Century Gothic"/>
      <family val="2"/>
      <scheme val="minor"/>
    </font>
    <font>
      <b/>
      <sz val="16"/>
      <color theme="8" tint="-0.499984740745262"/>
      <name val="Century Gothic"/>
      <family val="2"/>
      <scheme val="minor"/>
    </font>
    <font>
      <sz val="12"/>
      <color theme="0"/>
      <name val="Century Gothic"/>
      <family val="2"/>
      <scheme val="minor"/>
    </font>
    <font>
      <sz val="12"/>
      <name val="Century Gothic"/>
      <family val="2"/>
      <scheme val="minor"/>
    </font>
    <font>
      <b/>
      <sz val="14"/>
      <color theme="3" tint="-0.499984740745262"/>
      <name val="Century Gothic"/>
      <family val="2"/>
      <scheme val="minor"/>
    </font>
    <font>
      <sz val="11"/>
      <color rgb="FF333333"/>
      <name val="Helvetica"/>
      <family val="2"/>
    </font>
    <font>
      <sz val="18"/>
      <color rgb="FF000000"/>
      <name val="Trebuchet MS"/>
      <family val="2"/>
    </font>
    <font>
      <b/>
      <sz val="14"/>
      <color rgb="FF002060"/>
      <name val="Century Gothic"/>
      <family val="2"/>
      <scheme val="minor"/>
    </font>
    <font>
      <sz val="14"/>
      <color theme="1"/>
      <name val="Calibri"/>
      <family val="2"/>
    </font>
    <font>
      <sz val="18"/>
      <color theme="1"/>
      <name val="Calibri"/>
      <family val="2"/>
    </font>
    <font>
      <sz val="22"/>
      <color theme="1"/>
      <name val="Calibri"/>
      <family val="2"/>
    </font>
    <font>
      <vertAlign val="subscript"/>
      <sz val="18"/>
      <color theme="1"/>
      <name val="Calibri"/>
      <family val="2"/>
    </font>
    <font>
      <sz val="16"/>
      <color theme="0"/>
      <name val="Calibri"/>
      <family val="2"/>
    </font>
    <font>
      <vertAlign val="subscript"/>
      <sz val="16"/>
      <color theme="0"/>
      <name val="Calibri"/>
      <family val="2"/>
    </font>
    <font>
      <vertAlign val="subscript"/>
      <sz val="14"/>
      <color theme="1"/>
      <name val="Calibri"/>
      <family val="2"/>
    </font>
    <font>
      <sz val="14"/>
      <color theme="0"/>
      <name val="Calibri"/>
      <family val="2"/>
    </font>
    <font>
      <vertAlign val="subscript"/>
      <sz val="14"/>
      <color theme="0"/>
      <name val="Calibri"/>
      <family val="2"/>
    </font>
    <font>
      <b/>
      <sz val="14"/>
      <color theme="6" tint="-0.499984740745262"/>
      <name val="Calibri"/>
      <family val="2"/>
    </font>
    <font>
      <b/>
      <vertAlign val="subscript"/>
      <sz val="14"/>
      <color theme="6" tint="-0.499984740745262"/>
      <name val="Calibri"/>
      <family val="2"/>
    </font>
    <font>
      <vertAlign val="subscript"/>
      <sz val="16"/>
      <color rgb="FFC00000"/>
      <name val="Calibri"/>
      <family val="2"/>
    </font>
    <font>
      <b/>
      <sz val="16"/>
      <color rgb="FFC00000"/>
      <name val="Calibri"/>
      <family val="2"/>
    </font>
    <font>
      <b/>
      <vertAlign val="subscript"/>
      <sz val="16"/>
      <color rgb="FFC00000"/>
      <name val="Calibri"/>
      <family val="2"/>
    </font>
    <font>
      <b/>
      <sz val="18"/>
      <color theme="6" tint="-0.499984740745262"/>
      <name val="Calibri"/>
      <family val="2"/>
    </font>
    <font>
      <b/>
      <sz val="18"/>
      <color theme="1"/>
      <name val="Calibri"/>
      <family val="2"/>
    </font>
    <font>
      <b/>
      <vertAlign val="subscript"/>
      <sz val="18"/>
      <color theme="1"/>
      <name val="Calibri"/>
      <family val="2"/>
    </font>
    <font>
      <b/>
      <vertAlign val="subscript"/>
      <sz val="18"/>
      <color theme="6" tint="-0.499984740745262"/>
      <name val="Calibri"/>
      <family val="2"/>
    </font>
    <font>
      <sz val="11"/>
      <color theme="2" tint="-0.89999084444715716"/>
      <name val="Century Gothic"/>
      <family val="2"/>
      <scheme val="minor"/>
    </font>
    <font>
      <b/>
      <sz val="12"/>
      <color theme="1"/>
      <name val="Century Gothic"/>
      <family val="2"/>
      <scheme val="minor"/>
    </font>
    <font>
      <sz val="18"/>
      <color theme="1"/>
      <name val="Century Gothic"/>
      <family val="2"/>
      <scheme val="minor"/>
    </font>
    <font>
      <b/>
      <sz val="16"/>
      <color theme="2" tint="-0.749992370372631"/>
      <name val="Century Gothic"/>
      <family val="2"/>
      <scheme val="minor"/>
    </font>
  </fonts>
  <fills count="35">
    <fill>
      <patternFill patternType="none"/>
    </fill>
    <fill>
      <patternFill patternType="gray125"/>
    </fill>
    <fill>
      <patternFill patternType="solid">
        <fgColor theme="4" tint="0.399975585192419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5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0070C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1"/>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7" tint="-0.499984740745262"/>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2" tint="-0.499984740745262"/>
        <bgColor indexed="64"/>
      </patternFill>
    </fill>
    <fill>
      <patternFill patternType="solid">
        <fgColor theme="4" tint="-0.499984740745262"/>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tint="0.59999389629810485"/>
        <bgColor indexed="64"/>
      </patternFill>
    </fill>
  </fills>
  <borders count="28">
    <border>
      <left/>
      <right/>
      <top/>
      <bottom/>
      <diagonal/>
    </border>
    <border>
      <left style="hair">
        <color auto="1"/>
      </left>
      <right style="hair">
        <color auto="1"/>
      </right>
      <top style="hair">
        <color auto="1"/>
      </top>
      <bottom style="hair">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Dashed">
        <color rgb="FF00B0F0"/>
      </left>
      <right/>
      <top style="mediumDashed">
        <color rgb="FF00B0F0"/>
      </top>
      <bottom/>
      <diagonal/>
    </border>
    <border>
      <left/>
      <right/>
      <top style="mediumDashed">
        <color rgb="FF00B0F0"/>
      </top>
      <bottom/>
      <diagonal/>
    </border>
    <border>
      <left/>
      <right style="mediumDashed">
        <color rgb="FF00B0F0"/>
      </right>
      <top style="mediumDashed">
        <color rgb="FF00B0F0"/>
      </top>
      <bottom/>
      <diagonal/>
    </border>
    <border>
      <left style="mediumDashed">
        <color rgb="FF00B0F0"/>
      </left>
      <right/>
      <top/>
      <bottom/>
      <diagonal/>
    </border>
    <border>
      <left/>
      <right style="mediumDashed">
        <color rgb="FF00B0F0"/>
      </right>
      <top/>
      <bottom/>
      <diagonal/>
    </border>
    <border>
      <left style="mediumDashed">
        <color rgb="FF00B0F0"/>
      </left>
      <right/>
      <top/>
      <bottom style="mediumDashed">
        <color rgb="FF00B0F0"/>
      </bottom>
      <diagonal/>
    </border>
    <border>
      <left/>
      <right/>
      <top/>
      <bottom style="mediumDashed">
        <color rgb="FF00B0F0"/>
      </bottom>
      <diagonal/>
    </border>
    <border>
      <left/>
      <right style="mediumDashed">
        <color rgb="FF00B0F0"/>
      </right>
      <top/>
      <bottom style="mediumDashed">
        <color rgb="FF00B0F0"/>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06">
    <xf numFmtId="0" fontId="0" fillId="0" borderId="0" xfId="0"/>
    <xf numFmtId="0" fontId="0" fillId="0" borderId="0" xfId="0" applyAlignment="1">
      <alignment horizontal="center"/>
    </xf>
    <xf numFmtId="0" fontId="0" fillId="3" borderId="0" xfId="0" applyFill="1"/>
    <xf numFmtId="2" fontId="0" fillId="0" borderId="0" xfId="0" applyNumberFormat="1"/>
    <xf numFmtId="2" fontId="0" fillId="2" borderId="0" xfId="0" applyNumberFormat="1" applyFill="1"/>
    <xf numFmtId="0" fontId="3" fillId="0" borderId="0" xfId="0" applyFont="1"/>
    <xf numFmtId="0" fontId="4" fillId="0" borderId="0" xfId="0" applyFont="1"/>
    <xf numFmtId="0" fontId="5" fillId="0" borderId="0" xfId="0" applyFont="1"/>
    <xf numFmtId="2" fontId="0" fillId="7" borderId="0" xfId="0" applyNumberFormat="1" applyFill="1"/>
    <xf numFmtId="0" fontId="6" fillId="0" borderId="0" xfId="0" applyFont="1"/>
    <xf numFmtId="2" fontId="0" fillId="5" borderId="0" xfId="0" applyNumberFormat="1" applyFill="1"/>
    <xf numFmtId="10" fontId="0" fillId="0" borderId="0" xfId="1" applyNumberFormat="1" applyFont="1"/>
    <xf numFmtId="0" fontId="0" fillId="0" borderId="0" xfId="0" quotePrefix="1" applyBorder="1" applyAlignment="1">
      <alignment horizontal="center"/>
    </xf>
    <xf numFmtId="0" fontId="0" fillId="0" borderId="0" xfId="0" applyBorder="1" applyAlignment="1">
      <alignment horizontal="center"/>
    </xf>
    <xf numFmtId="0" fontId="0" fillId="0" borderId="0" xfId="0" applyBorder="1"/>
    <xf numFmtId="0" fontId="0" fillId="4" borderId="0" xfId="0" applyFill="1" applyBorder="1" applyAlignment="1">
      <alignment horizontal="center"/>
    </xf>
    <xf numFmtId="1" fontId="0" fillId="11" borderId="0" xfId="0" applyNumberFormat="1" applyFill="1" applyBorder="1" applyAlignment="1">
      <alignment horizontal="center"/>
    </xf>
    <xf numFmtId="0" fontId="0" fillId="0" borderId="0" xfId="0" applyFill="1" applyBorder="1" applyAlignment="1">
      <alignment horizontal="center"/>
    </xf>
    <xf numFmtId="0" fontId="0" fillId="10" borderId="0" xfId="0" applyFill="1" applyBorder="1" applyAlignment="1">
      <alignment horizontal="center"/>
    </xf>
    <xf numFmtId="164" fontId="0" fillId="4" borderId="0" xfId="0" applyNumberFormat="1" applyFill="1" applyBorder="1" applyAlignment="1">
      <alignment horizontal="center"/>
    </xf>
    <xf numFmtId="0" fontId="0" fillId="5" borderId="0" xfId="0" applyFill="1" applyBorder="1" applyAlignment="1">
      <alignment horizontal="center"/>
    </xf>
    <xf numFmtId="0" fontId="0" fillId="12" borderId="0" xfId="0" applyFill="1" applyBorder="1" applyAlignment="1">
      <alignment horizontal="center"/>
    </xf>
    <xf numFmtId="0" fontId="0" fillId="0" borderId="0" xfId="0" applyFill="1" applyBorder="1"/>
    <xf numFmtId="0" fontId="10" fillId="0" borderId="0" xfId="0" applyFont="1"/>
    <xf numFmtId="0" fontId="12" fillId="0" borderId="0" xfId="0" applyFont="1"/>
    <xf numFmtId="0" fontId="8" fillId="0" borderId="0" xfId="0" applyFont="1"/>
    <xf numFmtId="0" fontId="0" fillId="13" borderId="0" xfId="0" applyFill="1"/>
    <xf numFmtId="0" fontId="8" fillId="13" borderId="0" xfId="0" applyFont="1" applyFill="1"/>
    <xf numFmtId="0" fontId="7" fillId="14" borderId="0" xfId="0" applyFont="1" applyFill="1"/>
    <xf numFmtId="0" fontId="7" fillId="14" borderId="0" xfId="0" applyFont="1" applyFill="1" applyAlignment="1">
      <alignment horizontal="center"/>
    </xf>
    <xf numFmtId="0" fontId="10"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xf numFmtId="0" fontId="14" fillId="0" borderId="0" xfId="0" applyFont="1" applyAlignment="1">
      <alignment horizontal="center"/>
    </xf>
    <xf numFmtId="2" fontId="11" fillId="16" borderId="0" xfId="0" applyNumberFormat="1" applyFont="1" applyFill="1"/>
    <xf numFmtId="2" fontId="0" fillId="0" borderId="1" xfId="0" applyNumberFormat="1" applyBorder="1"/>
    <xf numFmtId="2" fontId="0" fillId="4" borderId="1" xfId="0" applyNumberFormat="1" applyFill="1" applyBorder="1"/>
    <xf numFmtId="0" fontId="7" fillId="15" borderId="0" xfId="0" applyFont="1" applyFill="1" applyAlignment="1">
      <alignment horizontal="center" vertical="center"/>
    </xf>
    <xf numFmtId="2" fontId="11" fillId="17" borderId="0" xfId="0" applyNumberFormat="1" applyFont="1" applyFill="1"/>
    <xf numFmtId="2" fontId="11" fillId="22" borderId="0" xfId="0" applyNumberFormat="1" applyFont="1" applyFill="1"/>
    <xf numFmtId="2" fontId="11" fillId="19" borderId="0" xfId="0" applyNumberFormat="1" applyFont="1" applyFill="1"/>
    <xf numFmtId="0" fontId="17" fillId="9" borderId="0" xfId="0" applyFont="1" applyFill="1"/>
    <xf numFmtId="165" fontId="17" fillId="8" borderId="0" xfId="0" applyNumberFormat="1" applyFont="1" applyFill="1"/>
    <xf numFmtId="0" fontId="18" fillId="6" borderId="0" xfId="0" applyFont="1" applyFill="1"/>
    <xf numFmtId="0" fontId="17" fillId="21" borderId="0" xfId="0" applyFont="1" applyFill="1"/>
    <xf numFmtId="0" fontId="20" fillId="0" borderId="0" xfId="0" applyFont="1"/>
    <xf numFmtId="0" fontId="21" fillId="0" borderId="0" xfId="0" applyFont="1"/>
    <xf numFmtId="0" fontId="14" fillId="0" borderId="0" xfId="0" applyFont="1" applyAlignment="1">
      <alignment vertical="center" wrapText="1"/>
    </xf>
    <xf numFmtId="0" fontId="14" fillId="0" borderId="0" xfId="0" applyFont="1" applyAlignment="1">
      <alignment vertical="top" wrapText="1"/>
    </xf>
    <xf numFmtId="0" fontId="14" fillId="0" borderId="0" xfId="0" applyFont="1" applyAlignment="1">
      <alignment horizontal="center" vertical="top" wrapText="1"/>
    </xf>
    <xf numFmtId="0" fontId="14" fillId="0" borderId="0" xfId="0" applyFont="1" applyAlignment="1">
      <alignment horizontal="left" vertical="top" wrapText="1"/>
    </xf>
    <xf numFmtId="0" fontId="0" fillId="0" borderId="0" xfId="0" applyAlignment="1">
      <alignment horizontal="right"/>
    </xf>
    <xf numFmtId="0" fontId="9" fillId="18" borderId="0" xfId="0" applyFont="1" applyFill="1"/>
    <xf numFmtId="166" fontId="22" fillId="22" borderId="0" xfId="2" applyNumberFormat="1" applyFont="1" applyFill="1"/>
    <xf numFmtId="0" fontId="0" fillId="0" borderId="0" xfId="0" quotePrefix="1" applyFill="1" applyBorder="1" applyAlignment="1">
      <alignment horizontal="center"/>
    </xf>
    <xf numFmtId="1" fontId="0" fillId="0" borderId="0" xfId="0" applyNumberFormat="1" applyFill="1" applyBorder="1" applyAlignment="1">
      <alignment horizontal="center"/>
    </xf>
    <xf numFmtId="0" fontId="18" fillId="20" borderId="0" xfId="0" applyFont="1" applyFill="1"/>
    <xf numFmtId="0" fontId="18" fillId="20" borderId="0" xfId="0" applyFont="1" applyFill="1" applyAlignment="1">
      <alignment horizontal="center"/>
    </xf>
    <xf numFmtId="0" fontId="23" fillId="24" borderId="0" xfId="0" applyFont="1" applyFill="1" applyBorder="1" applyAlignment="1">
      <alignment vertical="center"/>
    </xf>
    <xf numFmtId="0" fontId="0" fillId="26" borderId="0" xfId="0" quotePrefix="1" applyFill="1" applyBorder="1" applyAlignment="1">
      <alignment horizontal="center"/>
    </xf>
    <xf numFmtId="0" fontId="0" fillId="26" borderId="0" xfId="0" applyFill="1" applyBorder="1" applyAlignment="1">
      <alignment horizontal="center"/>
    </xf>
    <xf numFmtId="165" fontId="0" fillId="0" borderId="0" xfId="0" applyNumberFormat="1" applyFill="1" applyBorder="1" applyAlignment="1">
      <alignment horizontal="center"/>
    </xf>
    <xf numFmtId="165" fontId="18" fillId="25" borderId="0" xfId="0" applyNumberFormat="1" applyFont="1" applyFill="1"/>
    <xf numFmtId="0" fontId="8" fillId="0" borderId="0" xfId="0" applyFont="1" applyFill="1" applyBorder="1" applyAlignment="1">
      <alignment horizontal="center"/>
    </xf>
    <xf numFmtId="0" fontId="22" fillId="22" borderId="0" xfId="0" applyFont="1" applyFill="1" applyBorder="1" applyAlignment="1">
      <alignment horizontal="center"/>
    </xf>
    <xf numFmtId="0" fontId="0" fillId="0" borderId="5" xfId="0" applyBorder="1"/>
    <xf numFmtId="0" fontId="23" fillId="24" borderId="7" xfId="0" applyFont="1" applyFill="1" applyBorder="1" applyAlignment="1">
      <alignment vertical="center"/>
    </xf>
    <xf numFmtId="0" fontId="0" fillId="0" borderId="7" xfId="0" quotePrefix="1" applyBorder="1" applyAlignment="1">
      <alignment horizontal="center"/>
    </xf>
    <xf numFmtId="164" fontId="0" fillId="4" borderId="7" xfId="0" applyNumberFormat="1" applyFill="1" applyBorder="1" applyAlignment="1">
      <alignment horizontal="center"/>
    </xf>
    <xf numFmtId="0" fontId="0" fillId="0" borderId="7" xfId="0" applyBorder="1" applyAlignment="1">
      <alignment horizontal="center"/>
    </xf>
    <xf numFmtId="165" fontId="0" fillId="0" borderId="7" xfId="0" applyNumberFormat="1" applyFill="1" applyBorder="1" applyAlignment="1">
      <alignment horizontal="center"/>
    </xf>
    <xf numFmtId="165" fontId="18" fillId="25" borderId="6" xfId="0" applyNumberFormat="1" applyFont="1" applyFill="1" applyBorder="1"/>
    <xf numFmtId="0" fontId="0" fillId="0" borderId="8" xfId="0" applyBorder="1"/>
    <xf numFmtId="0" fontId="0" fillId="0" borderId="0" xfId="0" applyFill="1"/>
    <xf numFmtId="0" fontId="24" fillId="0" borderId="0" xfId="0" applyFont="1"/>
    <xf numFmtId="0" fontId="25" fillId="0" borderId="0" xfId="0" applyFont="1"/>
    <xf numFmtId="0" fontId="26" fillId="0" borderId="0" xfId="0" applyFont="1" applyAlignment="1">
      <alignment horizontal="left" vertical="center" indent="2" readingOrder="1"/>
    </xf>
    <xf numFmtId="0" fontId="0" fillId="0" borderId="0" xfId="0" applyFill="1" applyBorder="1" applyAlignment="1">
      <alignment horizontal="right"/>
    </xf>
    <xf numFmtId="0" fontId="27" fillId="27" borderId="0" xfId="0" applyFont="1" applyFill="1" applyAlignment="1">
      <alignment horizontal="center" vertical="center"/>
    </xf>
    <xf numFmtId="0" fontId="27" fillId="27" borderId="0" xfId="0" applyFont="1" applyFill="1" applyBorder="1" applyAlignment="1">
      <alignment horizontal="center" vertical="center"/>
    </xf>
    <xf numFmtId="0" fontId="30" fillId="0" borderId="0" xfId="0" applyFont="1"/>
    <xf numFmtId="0" fontId="32" fillId="8" borderId="0" xfId="0" applyFont="1" applyFill="1" applyAlignment="1">
      <alignment horizontal="center" vertical="center"/>
    </xf>
    <xf numFmtId="0" fontId="0" fillId="0" borderId="1" xfId="0" applyBorder="1" applyAlignment="1">
      <alignment horizontal="center"/>
    </xf>
    <xf numFmtId="0" fontId="35" fillId="28" borderId="0" xfId="0" applyFont="1" applyFill="1" applyAlignment="1">
      <alignment horizontal="center" vertical="center"/>
    </xf>
    <xf numFmtId="0" fontId="35" fillId="20" borderId="0" xfId="0" applyFont="1" applyFill="1" applyAlignment="1">
      <alignment horizontal="center" vertical="center"/>
    </xf>
    <xf numFmtId="0" fontId="37" fillId="0" borderId="0" xfId="0" applyFont="1" applyAlignment="1">
      <alignment horizontal="center" vertical="center"/>
    </xf>
    <xf numFmtId="0" fontId="40" fillId="0" borderId="0" xfId="0" applyFont="1" applyFill="1" applyAlignment="1">
      <alignment horizontal="center" vertical="center"/>
    </xf>
    <xf numFmtId="0" fontId="37" fillId="3" borderId="0" xfId="0" applyFont="1" applyFill="1" applyAlignment="1">
      <alignment horizontal="center" vertical="center"/>
    </xf>
    <xf numFmtId="0" fontId="5" fillId="0" borderId="1" xfId="0" applyFont="1" applyBorder="1" applyAlignment="1">
      <alignment horizontal="center" vertical="center"/>
    </xf>
    <xf numFmtId="0" fontId="42" fillId="3" borderId="0" xfId="0" applyFont="1" applyFill="1" applyAlignment="1">
      <alignment horizontal="center" vertical="center"/>
    </xf>
    <xf numFmtId="164" fontId="0" fillId="0" borderId="0" xfId="0" applyNumberFormat="1"/>
    <xf numFmtId="0" fontId="9" fillId="0" borderId="0" xfId="0" applyFont="1"/>
    <xf numFmtId="164" fontId="0" fillId="0" borderId="1" xfId="0" applyNumberFormat="1" applyBorder="1" applyAlignment="1">
      <alignment horizontal="center"/>
    </xf>
    <xf numFmtId="0" fontId="29" fillId="29" borderId="0" xfId="0" applyFont="1" applyFill="1"/>
    <xf numFmtId="0" fontId="0" fillId="25" borderId="0" xfId="0" applyFill="1" applyAlignment="1">
      <alignment horizontal="right"/>
    </xf>
    <xf numFmtId="167" fontId="0" fillId="0" borderId="1" xfId="0" applyNumberFormat="1" applyBorder="1" applyAlignment="1">
      <alignment horizontal="center"/>
    </xf>
    <xf numFmtId="0" fontId="28" fillId="31" borderId="0" xfId="0" applyFont="1" applyFill="1" applyAlignment="1">
      <alignment vertical="center"/>
    </xf>
    <xf numFmtId="0" fontId="0" fillId="10" borderId="0" xfId="0" applyFill="1"/>
    <xf numFmtId="0" fontId="0" fillId="16" borderId="0" xfId="0" applyFill="1"/>
    <xf numFmtId="0" fontId="0" fillId="32" borderId="0" xfId="0" applyFill="1"/>
    <xf numFmtId="0" fontId="43" fillId="2" borderId="0" xfId="0" applyFont="1" applyFill="1" applyAlignment="1">
      <alignment horizontal="right" vertical="center"/>
    </xf>
    <xf numFmtId="0" fontId="0" fillId="0" borderId="0" xfId="0" applyFill="1" applyAlignment="1">
      <alignment horizontal="center"/>
    </xf>
    <xf numFmtId="10" fontId="0" fillId="0" borderId="0" xfId="1" applyNumberFormat="1" applyFont="1" applyFill="1"/>
    <xf numFmtId="0" fontId="2" fillId="0" borderId="0" xfId="0" applyFont="1" applyFill="1" applyAlignment="1">
      <alignment horizontal="center"/>
    </xf>
    <xf numFmtId="0" fontId="0" fillId="0" borderId="15" xfId="0" applyFill="1" applyBorder="1"/>
    <xf numFmtId="0" fontId="9" fillId="33" borderId="0" xfId="0" applyFont="1" applyFill="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16" borderId="0" xfId="0" applyFill="1" applyBorder="1"/>
    <xf numFmtId="2" fontId="0" fillId="16" borderId="0" xfId="0" applyNumberFormat="1" applyFill="1"/>
    <xf numFmtId="2" fontId="9" fillId="29" borderId="0" xfId="0" applyNumberFormat="1" applyFont="1" applyFill="1"/>
    <xf numFmtId="0" fontId="0" fillId="0" borderId="14" xfId="0" applyBorder="1"/>
    <xf numFmtId="0" fontId="0" fillId="0" borderId="15" xfId="0" applyBorder="1"/>
    <xf numFmtId="0" fontId="0" fillId="0" borderId="16" xfId="0" applyBorder="1"/>
    <xf numFmtId="0" fontId="0" fillId="32" borderId="0" xfId="0" applyFill="1" applyBorder="1"/>
    <xf numFmtId="2" fontId="0" fillId="32" borderId="0" xfId="0" applyNumberFormat="1" applyFill="1"/>
    <xf numFmtId="2" fontId="0" fillId="32" borderId="0" xfId="0" applyNumberFormat="1" applyFill="1" applyBorder="1"/>
    <xf numFmtId="2" fontId="0" fillId="0" borderId="0" xfId="0" applyNumberFormat="1" applyFill="1"/>
    <xf numFmtId="0" fontId="0" fillId="7" borderId="0" xfId="0" applyFill="1"/>
    <xf numFmtId="0" fontId="0" fillId="7" borderId="0" xfId="0" applyFill="1" applyBorder="1"/>
    <xf numFmtId="0" fontId="0" fillId="30" borderId="0" xfId="0" applyFill="1"/>
    <xf numFmtId="2" fontId="0" fillId="30" borderId="0" xfId="0" applyNumberFormat="1" applyFill="1"/>
    <xf numFmtId="2" fontId="9" fillId="0" borderId="0" xfId="0" applyNumberFormat="1" applyFont="1" applyFill="1"/>
    <xf numFmtId="0" fontId="28" fillId="0" borderId="0" xfId="0" applyFont="1" applyFill="1" applyAlignment="1">
      <alignment vertical="center"/>
    </xf>
    <xf numFmtId="164" fontId="0" fillId="0" borderId="0" xfId="0" applyNumberFormat="1" applyFill="1"/>
    <xf numFmtId="1" fontId="0" fillId="10" borderId="0" xfId="0" applyNumberFormat="1" applyFill="1"/>
    <xf numFmtId="2" fontId="0" fillId="0" borderId="0" xfId="0" applyNumberFormat="1" applyFill="1" applyBorder="1" applyAlignment="1">
      <alignment horizontal="center"/>
    </xf>
    <xf numFmtId="164" fontId="0" fillId="3" borderId="0" xfId="0" applyNumberFormat="1" applyFill="1"/>
    <xf numFmtId="0" fontId="0" fillId="0" borderId="0" xfId="0" applyAlignment="1">
      <alignment horizontal="center" vertical="center" wrapText="1"/>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0" fillId="0" borderId="0" xfId="0" applyAlignment="1">
      <alignment horizontal="center"/>
    </xf>
    <xf numFmtId="0" fontId="14" fillId="0" borderId="0" xfId="0" applyFont="1" applyAlignment="1">
      <alignment horizontal="left" vertical="center" wrapText="1"/>
    </xf>
    <xf numFmtId="0" fontId="15" fillId="0" borderId="0" xfId="0" applyFont="1" applyAlignment="1">
      <alignment horizontal="left" vertical="center"/>
    </xf>
    <xf numFmtId="0" fontId="16" fillId="0" borderId="0" xfId="0" applyFont="1" applyAlignment="1">
      <alignment horizontal="center" vertical="center" wrapText="1"/>
    </xf>
    <xf numFmtId="0" fontId="9" fillId="9" borderId="0" xfId="0" applyFont="1" applyFill="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14" fillId="0" borderId="0" xfId="0" applyFont="1" applyAlignment="1">
      <alignment horizontal="left" vertical="top" wrapText="1"/>
    </xf>
    <xf numFmtId="0" fontId="7" fillId="23" borderId="0" xfId="0" applyFont="1" applyFill="1" applyAlignment="1">
      <alignment horizontal="center" vertical="top" wrapText="1"/>
    </xf>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4" fillId="0" borderId="0" xfId="0" applyFont="1" applyAlignment="1">
      <alignment horizontal="center" vertical="top" wrapText="1"/>
    </xf>
    <xf numFmtId="0" fontId="27" fillId="27" borderId="0" xfId="0" applyFont="1" applyFill="1" applyAlignment="1">
      <alignment horizontal="center" vertical="center"/>
    </xf>
    <xf numFmtId="0" fontId="46" fillId="0" borderId="0" xfId="0" applyFont="1" applyAlignment="1">
      <alignment horizontal="left" vertical="top" wrapText="1"/>
    </xf>
    <xf numFmtId="0" fontId="46" fillId="0" borderId="0" xfId="0" applyFont="1" applyAlignment="1">
      <alignment vertical="top" wrapText="1"/>
    </xf>
    <xf numFmtId="0" fontId="46" fillId="0" borderId="0" xfId="0" applyFont="1" applyFill="1" applyAlignment="1">
      <alignment horizontal="left" vertical="top" wrapText="1"/>
    </xf>
    <xf numFmtId="0" fontId="8" fillId="12" borderId="0" xfId="0" applyFont="1" applyFill="1" applyBorder="1" applyAlignment="1">
      <alignment horizontal="left"/>
    </xf>
    <xf numFmtId="0" fontId="8" fillId="0" borderId="0" xfId="0" applyFont="1" applyFill="1"/>
    <xf numFmtId="1" fontId="0" fillId="0" borderId="0" xfId="0" applyNumberFormat="1" applyFill="1"/>
    <xf numFmtId="164" fontId="8" fillId="0" borderId="0" xfId="0" applyNumberFormat="1" applyFont="1" applyFill="1"/>
    <xf numFmtId="0" fontId="7" fillId="23" borderId="0" xfId="0" applyFont="1" applyFill="1" applyAlignment="1">
      <alignment horizontal="center"/>
    </xf>
    <xf numFmtId="164" fontId="7" fillId="23" borderId="0" xfId="0" applyNumberFormat="1" applyFont="1" applyFill="1" applyAlignment="1">
      <alignment horizontal="center"/>
    </xf>
    <xf numFmtId="0" fontId="8" fillId="5" borderId="0" xfId="0" applyFont="1" applyFill="1" applyAlignment="1">
      <alignment horizontal="right"/>
    </xf>
    <xf numFmtId="164" fontId="0" fillId="24" borderId="0" xfId="0" applyNumberFormat="1" applyFill="1"/>
    <xf numFmtId="0" fontId="0" fillId="24" borderId="0" xfId="0" applyFill="1"/>
    <xf numFmtId="0" fontId="8" fillId="0" borderId="0" xfId="0" applyFont="1" applyFill="1" applyAlignment="1">
      <alignment horizontal="right"/>
    </xf>
    <xf numFmtId="0" fontId="14" fillId="10" borderId="0" xfId="0" applyFont="1" applyFill="1"/>
    <xf numFmtId="0" fontId="14" fillId="6" borderId="0" xfId="0" applyFont="1" applyFill="1" applyAlignment="1">
      <alignment horizontal="right"/>
    </xf>
    <xf numFmtId="0" fontId="14" fillId="18" borderId="0" xfId="0" applyFont="1" applyFill="1" applyAlignment="1">
      <alignment horizontal="right"/>
    </xf>
    <xf numFmtId="0" fontId="14" fillId="34" borderId="0" xfId="0" applyFont="1" applyFill="1"/>
    <xf numFmtId="0" fontId="0" fillId="34" borderId="0" xfId="0" applyFill="1"/>
    <xf numFmtId="0" fontId="14" fillId="10" borderId="0" xfId="0" applyFont="1" applyFill="1" applyAlignment="1">
      <alignment horizontal="left"/>
    </xf>
    <xf numFmtId="0" fontId="14" fillId="34" borderId="0" xfId="0" applyFont="1" applyFill="1" applyAlignment="1">
      <alignment horizontal="left"/>
    </xf>
    <xf numFmtId="0" fontId="47" fillId="0" borderId="0" xfId="0" applyFont="1" applyAlignment="1">
      <alignment horizontal="left" vertical="center" wrapText="1"/>
    </xf>
    <xf numFmtId="0" fontId="9" fillId="23" borderId="0" xfId="0" applyFont="1" applyFill="1"/>
    <xf numFmtId="0" fontId="16" fillId="0" borderId="17" xfId="0" applyFont="1" applyBorder="1" applyAlignment="1">
      <alignment horizontal="center" vertical="center"/>
    </xf>
    <xf numFmtId="0" fontId="16" fillId="0" borderId="17" xfId="0" quotePrefix="1" applyFont="1" applyBorder="1" applyAlignment="1">
      <alignment horizontal="center" vertical="center"/>
    </xf>
    <xf numFmtId="0" fontId="10" fillId="0" borderId="1" xfId="0" applyFont="1" applyBorder="1" applyAlignment="1">
      <alignment horizontal="center"/>
    </xf>
    <xf numFmtId="0" fontId="0" fillId="0" borderId="0" xfId="0" applyBorder="1" applyAlignment="1">
      <alignment textRotation="90"/>
    </xf>
    <xf numFmtId="0" fontId="16" fillId="0" borderId="5" xfId="0" quotePrefix="1" applyFont="1" applyBorder="1" applyAlignment="1">
      <alignment horizontal="center" vertical="center"/>
    </xf>
    <xf numFmtId="0" fontId="16" fillId="0" borderId="18" xfId="0" quotePrefix="1" applyFont="1" applyBorder="1" applyAlignment="1">
      <alignment horizontal="center" vertical="center"/>
    </xf>
    <xf numFmtId="0" fontId="16" fillId="0" borderId="0" xfId="0" applyFont="1" applyBorder="1" applyAlignment="1">
      <alignment horizontal="center" vertical="center"/>
    </xf>
    <xf numFmtId="0" fontId="0" fillId="0" borderId="13" xfId="0" applyBorder="1" applyAlignment="1">
      <alignment horizontal="center" vertical="center" textRotation="90"/>
    </xf>
    <xf numFmtId="0" fontId="0" fillId="0" borderId="0" xfId="0" applyBorder="1" applyAlignment="1"/>
    <xf numFmtId="0" fontId="0" fillId="2" borderId="0" xfId="0" applyFill="1" applyAlignment="1">
      <alignment horizontal="center"/>
    </xf>
    <xf numFmtId="0" fontId="16" fillId="0" borderId="17" xfId="0" applyFont="1" applyBorder="1" applyAlignment="1">
      <alignment horizontal="center"/>
    </xf>
    <xf numFmtId="0" fontId="0" fillId="0" borderId="5" xfId="0" applyBorder="1" applyAlignment="1">
      <alignment horizontal="center" vertical="center"/>
    </xf>
    <xf numFmtId="0" fontId="0" fillId="0" borderId="18"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9" xfId="0" applyBorder="1" applyAlignment="1">
      <alignment horizontal="center" vertical="center"/>
    </xf>
    <xf numFmtId="167" fontId="10" fillId="0" borderId="1" xfId="0" applyNumberFormat="1" applyFont="1" applyBorder="1" applyAlignment="1">
      <alignment horizontal="center"/>
    </xf>
    <xf numFmtId="0" fontId="16" fillId="0" borderId="0" xfId="0" applyFont="1" applyBorder="1" applyAlignment="1">
      <alignment horizontal="center"/>
    </xf>
    <xf numFmtId="0" fontId="48" fillId="0" borderId="20" xfId="0" applyFont="1" applyBorder="1" applyAlignment="1">
      <alignment horizontal="center"/>
    </xf>
    <xf numFmtId="0" fontId="48" fillId="0" borderId="21" xfId="0" applyFont="1" applyBorder="1" applyAlignment="1">
      <alignment horizontal="center"/>
    </xf>
    <xf numFmtId="0" fontId="48" fillId="0" borderId="22" xfId="0" applyFont="1" applyBorder="1" applyAlignment="1">
      <alignment horizontal="center"/>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49" fillId="0" borderId="0" xfId="0" applyFont="1" applyBorder="1" applyAlignment="1">
      <alignment horizontal="center"/>
    </xf>
  </cellXfs>
  <cellStyles count="3">
    <cellStyle name="Millares" xfId="2" builtinId="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'Ejer 4'!$E$3</c:f>
              <c:strCache>
                <c:ptCount val="1"/>
                <c:pt idx="0">
                  <c:v>a3</c:v>
                </c:pt>
              </c:strCache>
            </c:strRef>
          </c:tx>
          <c:spPr>
            <a:ln w="28575">
              <a:noFill/>
            </a:ln>
          </c:spPr>
          <c:dPt>
            <c:idx val="8"/>
            <c:marker>
              <c:spPr>
                <a:solidFill>
                  <a:srgbClr val="FF0000"/>
                </a:solidFill>
              </c:spPr>
            </c:marker>
            <c:bubble3D val="0"/>
          </c:dPt>
          <c:xVal>
            <c:numRef>
              <c:f>'Ejer 4'!$C$21:$C$29</c:f>
              <c:numCache>
                <c:formatCode>0.000</c:formatCode>
                <c:ptCount val="9"/>
                <c:pt idx="0">
                  <c:v>0</c:v>
                </c:pt>
                <c:pt idx="1">
                  <c:v>0.79365079365079361</c:v>
                </c:pt>
                <c:pt idx="2">
                  <c:v>0.38095238095238093</c:v>
                </c:pt>
                <c:pt idx="3">
                  <c:v>0.19047619047619047</c:v>
                </c:pt>
                <c:pt idx="4">
                  <c:v>0.96825396825396826</c:v>
                </c:pt>
                <c:pt idx="5">
                  <c:v>0.14285714285714285</c:v>
                </c:pt>
                <c:pt idx="6">
                  <c:v>0.36507936507936506</c:v>
                </c:pt>
                <c:pt idx="7">
                  <c:v>1</c:v>
                </c:pt>
                <c:pt idx="8" formatCode="General">
                  <c:v>1.5873015873015872E-2</c:v>
                </c:pt>
              </c:numCache>
            </c:numRef>
          </c:xVal>
          <c:yVal>
            <c:numRef>
              <c:f>'Ejer 4'!$D$21:$D$29</c:f>
              <c:numCache>
                <c:formatCode>General</c:formatCode>
                <c:ptCount val="9"/>
                <c:pt idx="0">
                  <c:v>0.1</c:v>
                </c:pt>
                <c:pt idx="1">
                  <c:v>0.3</c:v>
                </c:pt>
                <c:pt idx="2">
                  <c:v>0.08</c:v>
                </c:pt>
                <c:pt idx="3">
                  <c:v>0.41</c:v>
                </c:pt>
                <c:pt idx="4">
                  <c:v>0.11</c:v>
                </c:pt>
                <c:pt idx="5">
                  <c:v>0.06</c:v>
                </c:pt>
                <c:pt idx="6">
                  <c:v>0.21</c:v>
                </c:pt>
                <c:pt idx="7">
                  <c:v>0.38</c:v>
                </c:pt>
                <c:pt idx="8">
                  <c:v>0.1</c:v>
                </c:pt>
              </c:numCache>
            </c:numRef>
          </c:yVal>
          <c:smooth val="0"/>
        </c:ser>
        <c:dLbls>
          <c:showLegendKey val="0"/>
          <c:showVal val="0"/>
          <c:showCatName val="0"/>
          <c:showSerName val="0"/>
          <c:showPercent val="0"/>
          <c:showBubbleSize val="0"/>
        </c:dLbls>
        <c:axId val="178558080"/>
        <c:axId val="178559616"/>
      </c:scatterChart>
      <c:valAx>
        <c:axId val="178558080"/>
        <c:scaling>
          <c:orientation val="minMax"/>
        </c:scaling>
        <c:delete val="0"/>
        <c:axPos val="b"/>
        <c:numFmt formatCode="0.000" sourceLinked="1"/>
        <c:majorTickMark val="out"/>
        <c:minorTickMark val="none"/>
        <c:tickLblPos val="nextTo"/>
        <c:crossAx val="178559616"/>
        <c:crosses val="autoZero"/>
        <c:crossBetween val="midCat"/>
      </c:valAx>
      <c:valAx>
        <c:axId val="178559616"/>
        <c:scaling>
          <c:orientation val="minMax"/>
        </c:scaling>
        <c:delete val="0"/>
        <c:axPos val="l"/>
        <c:majorGridlines/>
        <c:numFmt formatCode="General" sourceLinked="1"/>
        <c:majorTickMark val="out"/>
        <c:minorTickMark val="none"/>
        <c:tickLblPos val="nextTo"/>
        <c:crossAx val="1785580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#REF!</c:f>
              <c:strCache>
                <c:ptCount val="1"/>
                <c:pt idx="0">
                  <c:v>#REF!</c:v>
                </c:pt>
              </c:strCache>
            </c:strRef>
          </c:tx>
          <c:spPr>
            <a:ln w="28575">
              <a:noFill/>
            </a:ln>
          </c:spPr>
          <c:xVal>
            <c:numRef>
              <c:f>#REF!</c:f>
            </c:numRef>
          </c:xVal>
          <c:yVal>
            <c:numRef>
              <c:f>#REF!</c:f>
              <c:numCache>
                <c:formatCode>General</c:formatCode>
                <c:ptCount val="1"/>
                <c:pt idx="0">
                  <c:v>1</c:v>
                </c:pt>
              </c:numCache>
            </c:numRef>
          </c:yVal>
          <c:smooth val="0"/>
        </c:ser>
        <c:dLbls>
          <c:showLegendKey val="0"/>
          <c:showVal val="0"/>
          <c:showCatName val="0"/>
          <c:showSerName val="0"/>
          <c:showPercent val="0"/>
          <c:showBubbleSize val="0"/>
        </c:dLbls>
        <c:axId val="178567424"/>
        <c:axId val="178266112"/>
      </c:scatterChart>
      <c:valAx>
        <c:axId val="178567424"/>
        <c:scaling>
          <c:orientation val="minMax"/>
        </c:scaling>
        <c:delete val="0"/>
        <c:axPos val="b"/>
        <c:numFmt formatCode="0.000" sourceLinked="1"/>
        <c:majorTickMark val="out"/>
        <c:minorTickMark val="none"/>
        <c:tickLblPos val="nextTo"/>
        <c:crossAx val="178266112"/>
        <c:crosses val="autoZero"/>
        <c:crossBetween val="midCat"/>
      </c:valAx>
      <c:valAx>
        <c:axId val="178266112"/>
        <c:scaling>
          <c:orientation val="minMax"/>
        </c:scaling>
        <c:delete val="0"/>
        <c:axPos val="l"/>
        <c:majorGridlines/>
        <c:numFmt formatCode="General" sourceLinked="1"/>
        <c:majorTickMark val="out"/>
        <c:minorTickMark val="none"/>
        <c:tickLblPos val="nextTo"/>
        <c:crossAx val="1785674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'Ejer 6'!$C$5</c:f>
              <c:strCache>
                <c:ptCount val="1"/>
                <c:pt idx="0">
                  <c:v>a3</c:v>
                </c:pt>
              </c:strCache>
            </c:strRef>
          </c:tx>
          <c:spPr>
            <a:ln w="28575">
              <a:noFill/>
            </a:ln>
          </c:spPr>
          <c:xVal>
            <c:numRef>
              <c:f>'Ejer 6'!$B$6:$B$13</c:f>
              <c:numCache>
                <c:formatCode>0.00</c:formatCode>
                <c:ptCount val="8"/>
                <c:pt idx="0">
                  <c:v>0</c:v>
                </c:pt>
                <c:pt idx="1">
                  <c:v>0.79365079365079361</c:v>
                </c:pt>
                <c:pt idx="2">
                  <c:v>0.38095238095238093</c:v>
                </c:pt>
                <c:pt idx="3">
                  <c:v>0.19047619047619047</c:v>
                </c:pt>
                <c:pt idx="4">
                  <c:v>0.96825396825396826</c:v>
                </c:pt>
                <c:pt idx="5">
                  <c:v>0.14285714285714285</c:v>
                </c:pt>
                <c:pt idx="6">
                  <c:v>0.36507936507936506</c:v>
                </c:pt>
                <c:pt idx="7">
                  <c:v>1</c:v>
                </c:pt>
              </c:numCache>
            </c:numRef>
          </c:xVal>
          <c:yVal>
            <c:numRef>
              <c:f>'Ejer 6'!$C$6:$C$13</c:f>
              <c:numCache>
                <c:formatCode>0.00</c:formatCode>
                <c:ptCount val="8"/>
                <c:pt idx="0">
                  <c:v>0.1</c:v>
                </c:pt>
                <c:pt idx="1">
                  <c:v>0.3</c:v>
                </c:pt>
                <c:pt idx="2">
                  <c:v>0.08</c:v>
                </c:pt>
                <c:pt idx="3">
                  <c:v>0.41</c:v>
                </c:pt>
                <c:pt idx="4">
                  <c:v>0.11</c:v>
                </c:pt>
                <c:pt idx="5">
                  <c:v>0.06</c:v>
                </c:pt>
                <c:pt idx="6">
                  <c:v>0.21</c:v>
                </c:pt>
                <c:pt idx="7">
                  <c:v>0.38</c:v>
                </c:pt>
              </c:numCache>
            </c:numRef>
          </c:yVal>
          <c:smooth val="0"/>
        </c:ser>
        <c:dLbls>
          <c:showLegendKey val="0"/>
          <c:showVal val="0"/>
          <c:showCatName val="0"/>
          <c:showSerName val="0"/>
          <c:showPercent val="0"/>
          <c:showBubbleSize val="0"/>
        </c:dLbls>
        <c:axId val="178903680"/>
        <c:axId val="178909568"/>
      </c:scatterChart>
      <c:valAx>
        <c:axId val="178903680"/>
        <c:scaling>
          <c:orientation val="minMax"/>
        </c:scaling>
        <c:delete val="0"/>
        <c:axPos val="b"/>
        <c:numFmt formatCode="0.00" sourceLinked="1"/>
        <c:majorTickMark val="out"/>
        <c:minorTickMark val="none"/>
        <c:tickLblPos val="nextTo"/>
        <c:crossAx val="178909568"/>
        <c:crosses val="autoZero"/>
        <c:crossBetween val="midCat"/>
      </c:valAx>
      <c:valAx>
        <c:axId val="178909568"/>
        <c:scaling>
          <c:orientation val="minMax"/>
        </c:scaling>
        <c:delete val="0"/>
        <c:axPos val="l"/>
        <c:majorGridlines/>
        <c:numFmt formatCode="0.00" sourceLinked="1"/>
        <c:majorTickMark val="out"/>
        <c:minorTickMark val="none"/>
        <c:tickLblPos val="nextTo"/>
        <c:crossAx val="1789036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4.5470180442475999E-2"/>
          <c:y val="1.4459455764806516E-2"/>
          <c:w val="0.83196483367694596"/>
          <c:h val="0.91287063253331657"/>
        </c:manualLayout>
      </c:layout>
      <c:scatterChart>
        <c:scatterStyle val="lineMarker"/>
        <c:varyColors val="0"/>
        <c:ser>
          <c:idx val="0"/>
          <c:order val="0"/>
          <c:tx>
            <c:strRef>
              <c:f>'Ejer 6 (b)'!$C$5</c:f>
              <c:strCache>
                <c:ptCount val="1"/>
                <c:pt idx="0">
                  <c:v>a3</c:v>
                </c:pt>
              </c:strCache>
            </c:strRef>
          </c:tx>
          <c:spPr>
            <a:ln w="28575">
              <a:noFill/>
            </a:ln>
          </c:spPr>
          <c:dPt>
            <c:idx val="0"/>
            <c:marker>
              <c:spPr>
                <a:solidFill>
                  <a:srgbClr val="FF0000"/>
                </a:solidFill>
              </c:spPr>
            </c:marker>
            <c:bubble3D val="0"/>
            <c:spPr>
              <a:ln>
                <a:solidFill>
                  <a:srgbClr val="FF0000"/>
                </a:solidFill>
                <a:prstDash val="solid"/>
              </a:ln>
            </c:spPr>
          </c:dPt>
          <c:dPt>
            <c:idx val="1"/>
            <c:marker>
              <c:spPr>
                <a:solidFill>
                  <a:srgbClr val="FF0000"/>
                </a:solidFill>
              </c:spPr>
            </c:marker>
            <c:bubble3D val="0"/>
          </c:dPt>
          <c:xVal>
            <c:numRef>
              <c:f>'Ejer 6 (b)'!$B$6:$B$13</c:f>
              <c:numCache>
                <c:formatCode>0.00</c:formatCode>
                <c:ptCount val="8"/>
                <c:pt idx="0">
                  <c:v>0</c:v>
                </c:pt>
                <c:pt idx="1">
                  <c:v>0.79365079365079361</c:v>
                </c:pt>
                <c:pt idx="2">
                  <c:v>0.38095238095238093</c:v>
                </c:pt>
                <c:pt idx="3">
                  <c:v>0.19047619047619047</c:v>
                </c:pt>
                <c:pt idx="4">
                  <c:v>0.96825396825396826</c:v>
                </c:pt>
                <c:pt idx="5">
                  <c:v>0.14285714285714285</c:v>
                </c:pt>
                <c:pt idx="6">
                  <c:v>0.36507936507936506</c:v>
                </c:pt>
                <c:pt idx="7">
                  <c:v>1</c:v>
                </c:pt>
              </c:numCache>
            </c:numRef>
          </c:xVal>
          <c:yVal>
            <c:numRef>
              <c:f>'Ejer 6 (b)'!$C$6:$C$13</c:f>
              <c:numCache>
                <c:formatCode>0.00</c:formatCode>
                <c:ptCount val="8"/>
                <c:pt idx="0">
                  <c:v>0.1</c:v>
                </c:pt>
                <c:pt idx="1">
                  <c:v>0.3</c:v>
                </c:pt>
                <c:pt idx="2">
                  <c:v>0.08</c:v>
                </c:pt>
                <c:pt idx="3">
                  <c:v>0.41</c:v>
                </c:pt>
                <c:pt idx="4">
                  <c:v>0.11</c:v>
                </c:pt>
                <c:pt idx="5">
                  <c:v>0.06</c:v>
                </c:pt>
                <c:pt idx="6">
                  <c:v>0.21</c:v>
                </c:pt>
                <c:pt idx="7">
                  <c:v>0.38</c:v>
                </c:pt>
              </c:numCache>
            </c:numRef>
          </c:yVal>
          <c:smooth val="0"/>
        </c:ser>
        <c:dLbls>
          <c:showLegendKey val="0"/>
          <c:showVal val="0"/>
          <c:showCatName val="0"/>
          <c:showSerName val="0"/>
          <c:showPercent val="0"/>
          <c:showBubbleSize val="0"/>
        </c:dLbls>
        <c:axId val="179209728"/>
        <c:axId val="179211264"/>
      </c:scatterChart>
      <c:valAx>
        <c:axId val="179209728"/>
        <c:scaling>
          <c:orientation val="minMax"/>
        </c:scaling>
        <c:delete val="0"/>
        <c:axPos val="b"/>
        <c:numFmt formatCode="0.00" sourceLinked="1"/>
        <c:majorTickMark val="out"/>
        <c:minorTickMark val="none"/>
        <c:tickLblPos val="nextTo"/>
        <c:crossAx val="179211264"/>
        <c:crosses val="autoZero"/>
        <c:crossBetween val="midCat"/>
      </c:valAx>
      <c:valAx>
        <c:axId val="179211264"/>
        <c:scaling>
          <c:orientation val="minMax"/>
        </c:scaling>
        <c:delete val="0"/>
        <c:axPos val="l"/>
        <c:majorGridlines/>
        <c:numFmt formatCode="0.00" sourceLinked="1"/>
        <c:majorTickMark val="out"/>
        <c:minorTickMark val="none"/>
        <c:tickLblPos val="nextTo"/>
        <c:crossAx val="1792097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43294</xdr:colOff>
      <xdr:row>9</xdr:row>
      <xdr:rowOff>101023</xdr:rowOff>
    </xdr:from>
    <xdr:to>
      <xdr:col>23</xdr:col>
      <xdr:colOff>370558</xdr:colOff>
      <xdr:row>36</xdr:row>
      <xdr:rowOff>64498</xdr:rowOff>
    </xdr:to>
    <xdr:pic>
      <xdr:nvPicPr>
        <xdr:cNvPr id="2" name="1 Imagen"/>
        <xdr:cNvPicPr>
          <a:picLocks noChangeAspect="1"/>
        </xdr:cNvPicPr>
      </xdr:nvPicPr>
      <xdr:blipFill>
        <a:blip xmlns:r="http://schemas.openxmlformats.org/officeDocument/2006/relationships" r:embed="rId1"/>
        <a:stretch>
          <a:fillRect/>
        </a:stretch>
      </xdr:blipFill>
      <xdr:spPr>
        <a:xfrm>
          <a:off x="11531021" y="2020455"/>
          <a:ext cx="7860673" cy="59671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110881</xdr:colOff>
      <xdr:row>16</xdr:row>
      <xdr:rowOff>61057</xdr:rowOff>
    </xdr:from>
    <xdr:to>
      <xdr:col>13</xdr:col>
      <xdr:colOff>549521</xdr:colOff>
      <xdr:row>29</xdr:row>
      <xdr:rowOff>43716</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79619</xdr:colOff>
      <xdr:row>29</xdr:row>
      <xdr:rowOff>146539</xdr:rowOff>
    </xdr:from>
    <xdr:to>
      <xdr:col>17</xdr:col>
      <xdr:colOff>620054</xdr:colOff>
      <xdr:row>37</xdr:row>
      <xdr:rowOff>122115</xdr:rowOff>
    </xdr:to>
    <xdr:pic>
      <xdr:nvPicPr>
        <xdr:cNvPr id="3" name="2 Imagen"/>
        <xdr:cNvPicPr>
          <a:picLocks noChangeAspect="1"/>
        </xdr:cNvPicPr>
      </xdr:nvPicPr>
      <xdr:blipFill>
        <a:blip xmlns:r="http://schemas.openxmlformats.org/officeDocument/2006/relationships" r:embed="rId2"/>
        <a:stretch>
          <a:fillRect/>
        </a:stretch>
      </xdr:blipFill>
      <xdr:spPr>
        <a:xfrm>
          <a:off x="6283081" y="6801827"/>
          <a:ext cx="8123800" cy="1685192"/>
        </a:xfrm>
        <a:prstGeom prst="rect">
          <a:avLst/>
        </a:prstGeom>
      </xdr:spPr>
    </xdr:pic>
    <xdr:clientData/>
  </xdr:twoCellAnchor>
  <xdr:twoCellAnchor>
    <xdr:from>
      <xdr:col>9</xdr:col>
      <xdr:colOff>25399</xdr:colOff>
      <xdr:row>38</xdr:row>
      <xdr:rowOff>89633</xdr:rowOff>
    </xdr:from>
    <xdr:to>
      <xdr:col>15</xdr:col>
      <xdr:colOff>482598</xdr:colOff>
      <xdr:row>62</xdr:row>
      <xdr:rowOff>165834</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49480</xdr:colOff>
      <xdr:row>5</xdr:row>
      <xdr:rowOff>74220</xdr:rowOff>
    </xdr:from>
    <xdr:to>
      <xdr:col>4</xdr:col>
      <xdr:colOff>0</xdr:colOff>
      <xdr:row>7</xdr:row>
      <xdr:rowOff>61851</xdr:rowOff>
    </xdr:to>
    <xdr:cxnSp macro="">
      <xdr:nvCxnSpPr>
        <xdr:cNvPr id="3" name="2 Conector recto de flecha"/>
        <xdr:cNvCxnSpPr/>
      </xdr:nvCxnSpPr>
      <xdr:spPr>
        <a:xfrm>
          <a:off x="1731818" y="1360714"/>
          <a:ext cx="1632857" cy="408215"/>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832757</xdr:colOff>
      <xdr:row>12</xdr:row>
      <xdr:rowOff>24740</xdr:rowOff>
    </xdr:from>
    <xdr:to>
      <xdr:col>4</xdr:col>
      <xdr:colOff>0</xdr:colOff>
      <xdr:row>13</xdr:row>
      <xdr:rowOff>201880</xdr:rowOff>
    </xdr:to>
    <xdr:cxnSp macro="">
      <xdr:nvCxnSpPr>
        <xdr:cNvPr id="4" name="3 Conector recto de flecha"/>
        <xdr:cNvCxnSpPr/>
      </xdr:nvCxnSpPr>
      <xdr:spPr>
        <a:xfrm flipV="1">
          <a:off x="1673926" y="2783279"/>
          <a:ext cx="1690749" cy="387432"/>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20286</xdr:colOff>
      <xdr:row>5</xdr:row>
      <xdr:rowOff>205838</xdr:rowOff>
    </xdr:from>
    <xdr:to>
      <xdr:col>3</xdr:col>
      <xdr:colOff>804059</xdr:colOff>
      <xdr:row>11</xdr:row>
      <xdr:rowOff>61850</xdr:rowOff>
    </xdr:to>
    <xdr:cxnSp macro="">
      <xdr:nvCxnSpPr>
        <xdr:cNvPr id="5" name="4 Conector recto de flecha"/>
        <xdr:cNvCxnSpPr/>
      </xdr:nvCxnSpPr>
      <xdr:spPr>
        <a:xfrm>
          <a:off x="1702624" y="1492332"/>
          <a:ext cx="1624941" cy="1117765"/>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11875</xdr:colOff>
      <xdr:row>7</xdr:row>
      <xdr:rowOff>148441</xdr:rowOff>
    </xdr:from>
    <xdr:to>
      <xdr:col>3</xdr:col>
      <xdr:colOff>692728</xdr:colOff>
      <xdr:row>9</xdr:row>
      <xdr:rowOff>24246</xdr:rowOff>
    </xdr:to>
    <xdr:cxnSp macro="">
      <xdr:nvCxnSpPr>
        <xdr:cNvPr id="6" name="5 Conector recto de flecha"/>
        <xdr:cNvCxnSpPr/>
      </xdr:nvCxnSpPr>
      <xdr:spPr>
        <a:xfrm flipV="1">
          <a:off x="1694213" y="1855519"/>
          <a:ext cx="1522021" cy="296389"/>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xdr:colOff>
      <xdr:row>9</xdr:row>
      <xdr:rowOff>189015</xdr:rowOff>
    </xdr:from>
    <xdr:to>
      <xdr:col>3</xdr:col>
      <xdr:colOff>795152</xdr:colOff>
      <xdr:row>11</xdr:row>
      <xdr:rowOff>176645</xdr:rowOff>
    </xdr:to>
    <xdr:cxnSp macro="">
      <xdr:nvCxnSpPr>
        <xdr:cNvPr id="7" name="6 Conector recto de flecha"/>
        <xdr:cNvCxnSpPr/>
      </xdr:nvCxnSpPr>
      <xdr:spPr>
        <a:xfrm>
          <a:off x="1685801" y="2316677"/>
          <a:ext cx="1632857" cy="408215"/>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836220</xdr:colOff>
      <xdr:row>7</xdr:row>
      <xdr:rowOff>197922</xdr:rowOff>
    </xdr:from>
    <xdr:to>
      <xdr:col>4</xdr:col>
      <xdr:colOff>0</xdr:colOff>
      <xdr:row>13</xdr:row>
      <xdr:rowOff>69272</xdr:rowOff>
    </xdr:to>
    <xdr:cxnSp macro="">
      <xdr:nvCxnSpPr>
        <xdr:cNvPr id="8" name="7 Conector recto de flecha"/>
        <xdr:cNvCxnSpPr/>
      </xdr:nvCxnSpPr>
      <xdr:spPr>
        <a:xfrm flipV="1">
          <a:off x="1677389" y="1905000"/>
          <a:ext cx="1687286" cy="1133103"/>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24740</xdr:colOff>
      <xdr:row>7</xdr:row>
      <xdr:rowOff>98961</xdr:rowOff>
    </xdr:from>
    <xdr:to>
      <xdr:col>6</xdr:col>
      <xdr:colOff>606136</xdr:colOff>
      <xdr:row>8</xdr:row>
      <xdr:rowOff>98961</xdr:rowOff>
    </xdr:to>
    <xdr:cxnSp macro="">
      <xdr:nvCxnSpPr>
        <xdr:cNvPr id="14" name="13 Conector recto de flecha"/>
        <xdr:cNvCxnSpPr/>
      </xdr:nvCxnSpPr>
      <xdr:spPr>
        <a:xfrm>
          <a:off x="4230584" y="1806039"/>
          <a:ext cx="1212273" cy="210292"/>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820387</xdr:colOff>
      <xdr:row>9</xdr:row>
      <xdr:rowOff>98961</xdr:rowOff>
    </xdr:from>
    <xdr:to>
      <xdr:col>6</xdr:col>
      <xdr:colOff>593766</xdr:colOff>
      <xdr:row>11</xdr:row>
      <xdr:rowOff>164770</xdr:rowOff>
    </xdr:to>
    <xdr:cxnSp macro="">
      <xdr:nvCxnSpPr>
        <xdr:cNvPr id="15" name="14 Conector recto de flecha"/>
        <xdr:cNvCxnSpPr/>
      </xdr:nvCxnSpPr>
      <xdr:spPr>
        <a:xfrm flipV="1">
          <a:off x="4185062" y="2226623"/>
          <a:ext cx="1245425" cy="486394"/>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618507</xdr:colOff>
      <xdr:row>8</xdr:row>
      <xdr:rowOff>197922</xdr:rowOff>
    </xdr:from>
    <xdr:to>
      <xdr:col>8</xdr:col>
      <xdr:colOff>593766</xdr:colOff>
      <xdr:row>8</xdr:row>
      <xdr:rowOff>201881</xdr:rowOff>
    </xdr:to>
    <xdr:cxnSp macro="">
      <xdr:nvCxnSpPr>
        <xdr:cNvPr id="18" name="17 Conector recto de flecha"/>
        <xdr:cNvCxnSpPr/>
      </xdr:nvCxnSpPr>
      <xdr:spPr>
        <a:xfrm flipV="1">
          <a:off x="6086104" y="2115292"/>
          <a:ext cx="606136" cy="3959"/>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569026</xdr:colOff>
      <xdr:row>5</xdr:row>
      <xdr:rowOff>12371</xdr:rowOff>
    </xdr:from>
    <xdr:to>
      <xdr:col>3</xdr:col>
      <xdr:colOff>222663</xdr:colOff>
      <xdr:row>6</xdr:row>
      <xdr:rowOff>49481</xdr:rowOff>
    </xdr:to>
    <xdr:sp macro="" textlink="">
      <xdr:nvSpPr>
        <xdr:cNvPr id="20" name="19 CuadroTexto"/>
        <xdr:cNvSpPr txBox="1"/>
      </xdr:nvSpPr>
      <xdr:spPr>
        <a:xfrm>
          <a:off x="2251364" y="1311235"/>
          <a:ext cx="494805"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W</a:t>
          </a:r>
          <a:r>
            <a:rPr lang="es-MX" sz="1100" b="1" baseline="-25000">
              <a:solidFill>
                <a:srgbClr val="0070C0"/>
              </a:solidFill>
              <a:effectLst/>
              <a:latin typeface="+mn-lt"/>
              <a:ea typeface="+mn-ea"/>
              <a:cs typeface="+mn-cs"/>
            </a:rPr>
            <a:t>14</a:t>
          </a:r>
          <a:endParaRPr lang="es-MX" sz="1100" b="1">
            <a:solidFill>
              <a:srgbClr val="0070C0"/>
            </a:solidFill>
            <a:effectLst/>
            <a:latin typeface="+mn-lt"/>
            <a:ea typeface="+mn-ea"/>
            <a:cs typeface="+mn-cs"/>
          </a:endParaRPr>
        </a:p>
      </xdr:txBody>
    </xdr:sp>
    <xdr:clientData/>
  </xdr:twoCellAnchor>
  <xdr:twoCellAnchor>
    <xdr:from>
      <xdr:col>2</xdr:col>
      <xdr:colOff>408215</xdr:colOff>
      <xdr:row>6</xdr:row>
      <xdr:rowOff>148442</xdr:rowOff>
    </xdr:from>
    <xdr:to>
      <xdr:col>3</xdr:col>
      <xdr:colOff>61852</xdr:colOff>
      <xdr:row>7</xdr:row>
      <xdr:rowOff>148441</xdr:rowOff>
    </xdr:to>
    <xdr:sp macro="" textlink="">
      <xdr:nvSpPr>
        <xdr:cNvPr id="21" name="20 CuadroTexto"/>
        <xdr:cNvSpPr txBox="1"/>
      </xdr:nvSpPr>
      <xdr:spPr>
        <a:xfrm>
          <a:off x="2090553" y="1669968"/>
          <a:ext cx="494805"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W</a:t>
          </a:r>
          <a:r>
            <a:rPr lang="es-MX" sz="1100" b="1" baseline="-25000">
              <a:solidFill>
                <a:srgbClr val="0070C0"/>
              </a:solidFill>
              <a:effectLst/>
              <a:latin typeface="+mn-lt"/>
              <a:ea typeface="+mn-ea"/>
              <a:cs typeface="+mn-cs"/>
            </a:rPr>
            <a:t>15</a:t>
          </a:r>
          <a:endParaRPr lang="es-MX" sz="1100" b="1">
            <a:solidFill>
              <a:srgbClr val="0070C0"/>
            </a:solidFill>
            <a:effectLst/>
            <a:latin typeface="+mn-lt"/>
            <a:ea typeface="+mn-ea"/>
            <a:cs typeface="+mn-cs"/>
          </a:endParaRPr>
        </a:p>
      </xdr:txBody>
    </xdr:sp>
    <xdr:clientData/>
  </xdr:twoCellAnchor>
  <xdr:twoCellAnchor>
    <xdr:from>
      <xdr:col>2</xdr:col>
      <xdr:colOff>61850</xdr:colOff>
      <xdr:row>7</xdr:row>
      <xdr:rowOff>136071</xdr:rowOff>
    </xdr:from>
    <xdr:to>
      <xdr:col>2</xdr:col>
      <xdr:colOff>556655</xdr:colOff>
      <xdr:row>8</xdr:row>
      <xdr:rowOff>173181</xdr:rowOff>
    </xdr:to>
    <xdr:sp macro="" textlink="">
      <xdr:nvSpPr>
        <xdr:cNvPr id="22" name="21 CuadroTexto"/>
        <xdr:cNvSpPr txBox="1"/>
      </xdr:nvSpPr>
      <xdr:spPr>
        <a:xfrm>
          <a:off x="1744188" y="1917370"/>
          <a:ext cx="494805"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W</a:t>
          </a:r>
          <a:r>
            <a:rPr lang="es-MX" sz="1100" b="1" baseline="-25000">
              <a:solidFill>
                <a:srgbClr val="0070C0"/>
              </a:solidFill>
              <a:effectLst/>
              <a:latin typeface="+mn-lt"/>
              <a:ea typeface="+mn-ea"/>
              <a:cs typeface="+mn-cs"/>
            </a:rPr>
            <a:t>24</a:t>
          </a:r>
          <a:endParaRPr lang="es-MX" sz="1100" b="1">
            <a:solidFill>
              <a:srgbClr val="0070C0"/>
            </a:solidFill>
            <a:effectLst/>
            <a:latin typeface="+mn-lt"/>
            <a:ea typeface="+mn-ea"/>
            <a:cs typeface="+mn-cs"/>
          </a:endParaRPr>
        </a:p>
      </xdr:txBody>
    </xdr:sp>
    <xdr:clientData/>
  </xdr:twoCellAnchor>
  <xdr:twoCellAnchor>
    <xdr:from>
      <xdr:col>2</xdr:col>
      <xdr:colOff>259773</xdr:colOff>
      <xdr:row>9</xdr:row>
      <xdr:rowOff>61850</xdr:rowOff>
    </xdr:from>
    <xdr:to>
      <xdr:col>2</xdr:col>
      <xdr:colOff>754578</xdr:colOff>
      <xdr:row>10</xdr:row>
      <xdr:rowOff>86589</xdr:rowOff>
    </xdr:to>
    <xdr:sp macro="" textlink="">
      <xdr:nvSpPr>
        <xdr:cNvPr id="23" name="22 CuadroTexto"/>
        <xdr:cNvSpPr txBox="1"/>
      </xdr:nvSpPr>
      <xdr:spPr>
        <a:xfrm>
          <a:off x="1942111" y="2276103"/>
          <a:ext cx="494805"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W</a:t>
          </a:r>
          <a:r>
            <a:rPr lang="es-MX" sz="1100" b="1" baseline="-25000">
              <a:solidFill>
                <a:srgbClr val="0070C0"/>
              </a:solidFill>
              <a:effectLst/>
              <a:latin typeface="+mn-lt"/>
              <a:ea typeface="+mn-ea"/>
              <a:cs typeface="+mn-cs"/>
            </a:rPr>
            <a:t>25</a:t>
          </a:r>
          <a:endParaRPr lang="es-MX" sz="1100" b="1">
            <a:solidFill>
              <a:srgbClr val="0070C0"/>
            </a:solidFill>
            <a:effectLst/>
            <a:latin typeface="+mn-lt"/>
            <a:ea typeface="+mn-ea"/>
            <a:cs typeface="+mn-cs"/>
          </a:endParaRPr>
        </a:p>
      </xdr:txBody>
    </xdr:sp>
    <xdr:clientData/>
  </xdr:twoCellAnchor>
  <xdr:twoCellAnchor>
    <xdr:from>
      <xdr:col>2</xdr:col>
      <xdr:colOff>12370</xdr:colOff>
      <xdr:row>11</xdr:row>
      <xdr:rowOff>49480</xdr:rowOff>
    </xdr:from>
    <xdr:to>
      <xdr:col>2</xdr:col>
      <xdr:colOff>507175</xdr:colOff>
      <xdr:row>12</xdr:row>
      <xdr:rowOff>86590</xdr:rowOff>
    </xdr:to>
    <xdr:sp macro="" textlink="">
      <xdr:nvSpPr>
        <xdr:cNvPr id="24" name="23 CuadroTexto"/>
        <xdr:cNvSpPr txBox="1"/>
      </xdr:nvSpPr>
      <xdr:spPr>
        <a:xfrm>
          <a:off x="1694708" y="2709058"/>
          <a:ext cx="494805"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W</a:t>
          </a:r>
          <a:r>
            <a:rPr lang="es-MX" sz="1100" b="1" baseline="-25000">
              <a:solidFill>
                <a:srgbClr val="0070C0"/>
              </a:solidFill>
              <a:effectLst/>
              <a:latin typeface="+mn-lt"/>
              <a:ea typeface="+mn-ea"/>
              <a:cs typeface="+mn-cs"/>
            </a:rPr>
            <a:t>34</a:t>
          </a:r>
          <a:endParaRPr lang="es-MX" sz="1100" b="1">
            <a:solidFill>
              <a:srgbClr val="0070C0"/>
            </a:solidFill>
            <a:effectLst/>
            <a:latin typeface="+mn-lt"/>
            <a:ea typeface="+mn-ea"/>
            <a:cs typeface="+mn-cs"/>
          </a:endParaRPr>
        </a:p>
      </xdr:txBody>
    </xdr:sp>
    <xdr:clientData/>
  </xdr:twoCellAnchor>
  <xdr:twoCellAnchor>
    <xdr:from>
      <xdr:col>2</xdr:col>
      <xdr:colOff>333993</xdr:colOff>
      <xdr:row>12</xdr:row>
      <xdr:rowOff>37110</xdr:rowOff>
    </xdr:from>
    <xdr:to>
      <xdr:col>2</xdr:col>
      <xdr:colOff>828798</xdr:colOff>
      <xdr:row>13</xdr:row>
      <xdr:rowOff>86590</xdr:rowOff>
    </xdr:to>
    <xdr:sp macro="" textlink="">
      <xdr:nvSpPr>
        <xdr:cNvPr id="25" name="24 CuadroTexto"/>
        <xdr:cNvSpPr txBox="1"/>
      </xdr:nvSpPr>
      <xdr:spPr>
        <a:xfrm>
          <a:off x="2016331" y="2919350"/>
          <a:ext cx="494805"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W</a:t>
          </a:r>
          <a:r>
            <a:rPr lang="es-MX" sz="1100" b="1" baseline="-25000">
              <a:solidFill>
                <a:srgbClr val="0070C0"/>
              </a:solidFill>
              <a:effectLst/>
              <a:latin typeface="+mn-lt"/>
              <a:ea typeface="+mn-ea"/>
              <a:cs typeface="+mn-cs"/>
            </a:rPr>
            <a:t>35</a:t>
          </a:r>
          <a:endParaRPr lang="es-MX" sz="1100" b="1">
            <a:solidFill>
              <a:srgbClr val="0070C0"/>
            </a:solidFill>
            <a:effectLst/>
            <a:latin typeface="+mn-lt"/>
            <a:ea typeface="+mn-ea"/>
            <a:cs typeface="+mn-cs"/>
          </a:endParaRPr>
        </a:p>
      </xdr:txBody>
    </xdr:sp>
    <xdr:clientData/>
  </xdr:twoCellAnchor>
  <xdr:twoCellAnchor>
    <xdr:from>
      <xdr:col>5</xdr:col>
      <xdr:colOff>259772</xdr:colOff>
      <xdr:row>6</xdr:row>
      <xdr:rowOff>210292</xdr:rowOff>
    </xdr:from>
    <xdr:to>
      <xdr:col>6</xdr:col>
      <xdr:colOff>123700</xdr:colOff>
      <xdr:row>7</xdr:row>
      <xdr:rowOff>210291</xdr:rowOff>
    </xdr:to>
    <xdr:sp macro="" textlink="">
      <xdr:nvSpPr>
        <xdr:cNvPr id="26" name="25 CuadroTexto"/>
        <xdr:cNvSpPr txBox="1"/>
      </xdr:nvSpPr>
      <xdr:spPr>
        <a:xfrm>
          <a:off x="4465616" y="1731818"/>
          <a:ext cx="494805"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W</a:t>
          </a:r>
          <a:r>
            <a:rPr lang="es-MX" sz="1100" b="1" baseline="-25000">
              <a:solidFill>
                <a:srgbClr val="0070C0"/>
              </a:solidFill>
              <a:effectLst/>
              <a:latin typeface="+mn-lt"/>
              <a:ea typeface="+mn-ea"/>
              <a:cs typeface="+mn-cs"/>
            </a:rPr>
            <a:t>46</a:t>
          </a:r>
          <a:endParaRPr lang="es-MX" sz="1100" b="1">
            <a:solidFill>
              <a:srgbClr val="0070C0"/>
            </a:solidFill>
            <a:effectLst/>
            <a:latin typeface="+mn-lt"/>
            <a:ea typeface="+mn-ea"/>
            <a:cs typeface="+mn-cs"/>
          </a:endParaRPr>
        </a:p>
      </xdr:txBody>
    </xdr:sp>
    <xdr:clientData/>
  </xdr:twoCellAnchor>
  <xdr:twoCellAnchor>
    <xdr:from>
      <xdr:col>5</xdr:col>
      <xdr:colOff>197922</xdr:colOff>
      <xdr:row>9</xdr:row>
      <xdr:rowOff>136072</xdr:rowOff>
    </xdr:from>
    <xdr:to>
      <xdr:col>6</xdr:col>
      <xdr:colOff>61850</xdr:colOff>
      <xdr:row>10</xdr:row>
      <xdr:rowOff>160811</xdr:rowOff>
    </xdr:to>
    <xdr:sp macro="" textlink="">
      <xdr:nvSpPr>
        <xdr:cNvPr id="27" name="26 CuadroTexto"/>
        <xdr:cNvSpPr txBox="1"/>
      </xdr:nvSpPr>
      <xdr:spPr>
        <a:xfrm>
          <a:off x="4403766" y="2350325"/>
          <a:ext cx="494805"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W</a:t>
          </a:r>
          <a:r>
            <a:rPr lang="es-MX" sz="1100" b="1" baseline="-25000">
              <a:solidFill>
                <a:srgbClr val="0070C0"/>
              </a:solidFill>
              <a:effectLst/>
              <a:latin typeface="+mn-lt"/>
              <a:ea typeface="+mn-ea"/>
              <a:cs typeface="+mn-cs"/>
            </a:rPr>
            <a:t>56</a:t>
          </a:r>
        </a:p>
        <a:p>
          <a:endParaRPr lang="es-MX" sz="1100" b="1">
            <a:solidFill>
              <a:srgbClr val="0070C0"/>
            </a:solidFill>
            <a:effectLst/>
            <a:latin typeface="+mn-lt"/>
            <a:ea typeface="+mn-ea"/>
            <a:cs typeface="+mn-cs"/>
          </a:endParaRPr>
        </a:p>
      </xdr:txBody>
    </xdr:sp>
    <xdr:clientData/>
  </xdr:twoCellAnchor>
  <xdr:twoCellAnchor>
    <xdr:from>
      <xdr:col>17</xdr:col>
      <xdr:colOff>49480</xdr:colOff>
      <xdr:row>25</xdr:row>
      <xdr:rowOff>74220</xdr:rowOff>
    </xdr:from>
    <xdr:to>
      <xdr:col>19</xdr:col>
      <xdr:colOff>0</xdr:colOff>
      <xdr:row>27</xdr:row>
      <xdr:rowOff>61851</xdr:rowOff>
    </xdr:to>
    <xdr:cxnSp macro="">
      <xdr:nvCxnSpPr>
        <xdr:cNvPr id="28" name="27 Conector recto de flecha"/>
        <xdr:cNvCxnSpPr/>
      </xdr:nvCxnSpPr>
      <xdr:spPr>
        <a:xfrm>
          <a:off x="1513949" y="1312470"/>
          <a:ext cx="1617395" cy="523412"/>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832757</xdr:colOff>
      <xdr:row>32</xdr:row>
      <xdr:rowOff>24740</xdr:rowOff>
    </xdr:from>
    <xdr:to>
      <xdr:col>19</xdr:col>
      <xdr:colOff>0</xdr:colOff>
      <xdr:row>33</xdr:row>
      <xdr:rowOff>201880</xdr:rowOff>
    </xdr:to>
    <xdr:cxnSp macro="">
      <xdr:nvCxnSpPr>
        <xdr:cNvPr id="29" name="28 Conector recto de flecha"/>
        <xdr:cNvCxnSpPr/>
      </xdr:nvCxnSpPr>
      <xdr:spPr>
        <a:xfrm flipV="1">
          <a:off x="1466170" y="3144178"/>
          <a:ext cx="1665174" cy="439077"/>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20286</xdr:colOff>
      <xdr:row>25</xdr:row>
      <xdr:rowOff>205838</xdr:rowOff>
    </xdr:from>
    <xdr:to>
      <xdr:col>18</xdr:col>
      <xdr:colOff>804059</xdr:colOff>
      <xdr:row>31</xdr:row>
      <xdr:rowOff>61850</xdr:rowOff>
    </xdr:to>
    <xdr:cxnSp macro="">
      <xdr:nvCxnSpPr>
        <xdr:cNvPr id="30" name="29 Conector recto de flecha"/>
        <xdr:cNvCxnSpPr/>
      </xdr:nvCxnSpPr>
      <xdr:spPr>
        <a:xfrm>
          <a:off x="1484755" y="1444088"/>
          <a:ext cx="1617210" cy="1510981"/>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11875</xdr:colOff>
      <xdr:row>27</xdr:row>
      <xdr:rowOff>148441</xdr:rowOff>
    </xdr:from>
    <xdr:to>
      <xdr:col>18</xdr:col>
      <xdr:colOff>692728</xdr:colOff>
      <xdr:row>29</xdr:row>
      <xdr:rowOff>24246</xdr:rowOff>
    </xdr:to>
    <xdr:cxnSp macro="">
      <xdr:nvCxnSpPr>
        <xdr:cNvPr id="31" name="30 Conector recto de flecha"/>
        <xdr:cNvCxnSpPr/>
      </xdr:nvCxnSpPr>
      <xdr:spPr>
        <a:xfrm flipV="1">
          <a:off x="1476344" y="1922472"/>
          <a:ext cx="1514290" cy="447305"/>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3463</xdr:colOff>
      <xdr:row>29</xdr:row>
      <xdr:rowOff>189015</xdr:rowOff>
    </xdr:from>
    <xdr:to>
      <xdr:col>18</xdr:col>
      <xdr:colOff>795152</xdr:colOff>
      <xdr:row>31</xdr:row>
      <xdr:rowOff>176645</xdr:rowOff>
    </xdr:to>
    <xdr:cxnSp macro="">
      <xdr:nvCxnSpPr>
        <xdr:cNvPr id="32" name="31 Conector recto de flecha"/>
        <xdr:cNvCxnSpPr/>
      </xdr:nvCxnSpPr>
      <xdr:spPr>
        <a:xfrm>
          <a:off x="1467932" y="2534546"/>
          <a:ext cx="1625126" cy="535318"/>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836220</xdr:colOff>
      <xdr:row>27</xdr:row>
      <xdr:rowOff>197922</xdr:rowOff>
    </xdr:from>
    <xdr:to>
      <xdr:col>19</xdr:col>
      <xdr:colOff>0</xdr:colOff>
      <xdr:row>33</xdr:row>
      <xdr:rowOff>69272</xdr:rowOff>
    </xdr:to>
    <xdr:cxnSp macro="">
      <xdr:nvCxnSpPr>
        <xdr:cNvPr id="33" name="32 Conector recto de flecha"/>
        <xdr:cNvCxnSpPr/>
      </xdr:nvCxnSpPr>
      <xdr:spPr>
        <a:xfrm flipV="1">
          <a:off x="1460108" y="1971953"/>
          <a:ext cx="1671236" cy="1478694"/>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24740</xdr:colOff>
      <xdr:row>27</xdr:row>
      <xdr:rowOff>98961</xdr:rowOff>
    </xdr:from>
    <xdr:to>
      <xdr:col>21</xdr:col>
      <xdr:colOff>606136</xdr:colOff>
      <xdr:row>28</xdr:row>
      <xdr:rowOff>98961</xdr:rowOff>
    </xdr:to>
    <xdr:cxnSp macro="">
      <xdr:nvCxnSpPr>
        <xdr:cNvPr id="34" name="33 Conector recto de flecha"/>
        <xdr:cNvCxnSpPr/>
      </xdr:nvCxnSpPr>
      <xdr:spPr>
        <a:xfrm>
          <a:off x="3691865" y="1872992"/>
          <a:ext cx="1283865" cy="309563"/>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820387</xdr:colOff>
      <xdr:row>29</xdr:row>
      <xdr:rowOff>98961</xdr:rowOff>
    </xdr:from>
    <xdr:to>
      <xdr:col>21</xdr:col>
      <xdr:colOff>593766</xdr:colOff>
      <xdr:row>31</xdr:row>
      <xdr:rowOff>164770</xdr:rowOff>
    </xdr:to>
    <xdr:cxnSp macro="">
      <xdr:nvCxnSpPr>
        <xdr:cNvPr id="35" name="34 Conector recto de flecha"/>
        <xdr:cNvCxnSpPr/>
      </xdr:nvCxnSpPr>
      <xdr:spPr>
        <a:xfrm flipV="1">
          <a:off x="3665981" y="2444492"/>
          <a:ext cx="1297379" cy="613497"/>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8312</xdr:colOff>
      <xdr:row>29</xdr:row>
      <xdr:rowOff>19328</xdr:rowOff>
    </xdr:from>
    <xdr:to>
      <xdr:col>23</xdr:col>
      <xdr:colOff>817008</xdr:colOff>
      <xdr:row>29</xdr:row>
      <xdr:rowOff>23287</xdr:rowOff>
    </xdr:to>
    <xdr:cxnSp macro="">
      <xdr:nvCxnSpPr>
        <xdr:cNvPr id="36" name="35 Conector recto de flecha"/>
        <xdr:cNvCxnSpPr/>
      </xdr:nvCxnSpPr>
      <xdr:spPr>
        <a:xfrm flipV="1">
          <a:off x="14980421" y="7088664"/>
          <a:ext cx="808696" cy="3959"/>
        </a:xfrm>
        <a:prstGeom prst="straightConnector1">
          <a:avLst/>
        </a:prstGeom>
        <a:ln w="285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569026</xdr:colOff>
      <xdr:row>25</xdr:row>
      <xdr:rowOff>12371</xdr:rowOff>
    </xdr:from>
    <xdr:to>
      <xdr:col>18</xdr:col>
      <xdr:colOff>222663</xdr:colOff>
      <xdr:row>26</xdr:row>
      <xdr:rowOff>49481</xdr:rowOff>
    </xdr:to>
    <xdr:sp macro="" textlink="">
      <xdr:nvSpPr>
        <xdr:cNvPr id="37" name="36 CuadroTexto"/>
        <xdr:cNvSpPr txBox="1"/>
      </xdr:nvSpPr>
      <xdr:spPr>
        <a:xfrm>
          <a:off x="2033495" y="1250621"/>
          <a:ext cx="487074" cy="26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0.1</a:t>
          </a:r>
        </a:p>
        <a:p>
          <a:endParaRPr lang="es-MX" sz="1100" b="1">
            <a:solidFill>
              <a:srgbClr val="0070C0"/>
            </a:solidFill>
            <a:effectLst/>
            <a:latin typeface="+mn-lt"/>
            <a:ea typeface="+mn-ea"/>
            <a:cs typeface="+mn-cs"/>
          </a:endParaRPr>
        </a:p>
      </xdr:txBody>
    </xdr:sp>
    <xdr:clientData/>
  </xdr:twoCellAnchor>
  <xdr:twoCellAnchor>
    <xdr:from>
      <xdr:col>17</xdr:col>
      <xdr:colOff>408215</xdr:colOff>
      <xdr:row>26</xdr:row>
      <xdr:rowOff>148442</xdr:rowOff>
    </xdr:from>
    <xdr:to>
      <xdr:col>18</xdr:col>
      <xdr:colOff>61852</xdr:colOff>
      <xdr:row>27</xdr:row>
      <xdr:rowOff>148441</xdr:rowOff>
    </xdr:to>
    <xdr:sp macro="" textlink="">
      <xdr:nvSpPr>
        <xdr:cNvPr id="38" name="37 CuadroTexto"/>
        <xdr:cNvSpPr txBox="1"/>
      </xdr:nvSpPr>
      <xdr:spPr>
        <a:xfrm>
          <a:off x="1872684" y="1612911"/>
          <a:ext cx="487074" cy="309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-0.2</a:t>
          </a:r>
        </a:p>
        <a:p>
          <a:endParaRPr lang="es-MX" sz="1100" b="1">
            <a:solidFill>
              <a:srgbClr val="0070C0"/>
            </a:solidFill>
            <a:effectLst/>
            <a:latin typeface="+mn-lt"/>
            <a:ea typeface="+mn-ea"/>
            <a:cs typeface="+mn-cs"/>
          </a:endParaRPr>
        </a:p>
      </xdr:txBody>
    </xdr:sp>
    <xdr:clientData/>
  </xdr:twoCellAnchor>
  <xdr:twoCellAnchor>
    <xdr:from>
      <xdr:col>17</xdr:col>
      <xdr:colOff>61850</xdr:colOff>
      <xdr:row>27</xdr:row>
      <xdr:rowOff>136071</xdr:rowOff>
    </xdr:from>
    <xdr:to>
      <xdr:col>17</xdr:col>
      <xdr:colOff>556655</xdr:colOff>
      <xdr:row>28</xdr:row>
      <xdr:rowOff>173181</xdr:rowOff>
    </xdr:to>
    <xdr:sp macro="" textlink="">
      <xdr:nvSpPr>
        <xdr:cNvPr id="39" name="38 CuadroTexto"/>
        <xdr:cNvSpPr txBox="1"/>
      </xdr:nvSpPr>
      <xdr:spPr>
        <a:xfrm>
          <a:off x="1526319" y="1910102"/>
          <a:ext cx="494805" cy="346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0.3</a:t>
          </a:r>
        </a:p>
      </xdr:txBody>
    </xdr:sp>
    <xdr:clientData/>
  </xdr:twoCellAnchor>
  <xdr:twoCellAnchor>
    <xdr:from>
      <xdr:col>17</xdr:col>
      <xdr:colOff>259773</xdr:colOff>
      <xdr:row>29</xdr:row>
      <xdr:rowOff>61850</xdr:rowOff>
    </xdr:from>
    <xdr:to>
      <xdr:col>17</xdr:col>
      <xdr:colOff>754578</xdr:colOff>
      <xdr:row>30</xdr:row>
      <xdr:rowOff>86589</xdr:rowOff>
    </xdr:to>
    <xdr:sp macro="" textlink="">
      <xdr:nvSpPr>
        <xdr:cNvPr id="40" name="39 CuadroTexto"/>
        <xdr:cNvSpPr txBox="1"/>
      </xdr:nvSpPr>
      <xdr:spPr>
        <a:xfrm>
          <a:off x="1724242" y="2407381"/>
          <a:ext cx="494805" cy="262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0.2</a:t>
          </a:r>
        </a:p>
        <a:p>
          <a:endParaRPr lang="es-MX" sz="1100" b="1">
            <a:solidFill>
              <a:srgbClr val="0070C0"/>
            </a:solidFill>
            <a:effectLst/>
            <a:latin typeface="+mn-lt"/>
            <a:ea typeface="+mn-ea"/>
            <a:cs typeface="+mn-cs"/>
          </a:endParaRPr>
        </a:p>
      </xdr:txBody>
    </xdr:sp>
    <xdr:clientData/>
  </xdr:twoCellAnchor>
  <xdr:twoCellAnchor>
    <xdr:from>
      <xdr:col>17</xdr:col>
      <xdr:colOff>12370</xdr:colOff>
      <xdr:row>31</xdr:row>
      <xdr:rowOff>49480</xdr:rowOff>
    </xdr:from>
    <xdr:to>
      <xdr:col>17</xdr:col>
      <xdr:colOff>507175</xdr:colOff>
      <xdr:row>32</xdr:row>
      <xdr:rowOff>86590</xdr:rowOff>
    </xdr:to>
    <xdr:sp macro="" textlink="">
      <xdr:nvSpPr>
        <xdr:cNvPr id="41" name="40 CuadroTexto"/>
        <xdr:cNvSpPr txBox="1"/>
      </xdr:nvSpPr>
      <xdr:spPr>
        <a:xfrm>
          <a:off x="1476839" y="2942699"/>
          <a:ext cx="494805" cy="26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-0.3</a:t>
          </a:r>
        </a:p>
      </xdr:txBody>
    </xdr:sp>
    <xdr:clientData/>
  </xdr:twoCellAnchor>
  <xdr:twoCellAnchor>
    <xdr:from>
      <xdr:col>17</xdr:col>
      <xdr:colOff>333993</xdr:colOff>
      <xdr:row>32</xdr:row>
      <xdr:rowOff>37110</xdr:rowOff>
    </xdr:from>
    <xdr:to>
      <xdr:col>17</xdr:col>
      <xdr:colOff>828798</xdr:colOff>
      <xdr:row>33</xdr:row>
      <xdr:rowOff>86590</xdr:rowOff>
    </xdr:to>
    <xdr:sp macro="" textlink="">
      <xdr:nvSpPr>
        <xdr:cNvPr id="42" name="41 CuadroTexto"/>
        <xdr:cNvSpPr txBox="1"/>
      </xdr:nvSpPr>
      <xdr:spPr>
        <a:xfrm>
          <a:off x="1798462" y="3156548"/>
          <a:ext cx="494805" cy="311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0.2</a:t>
          </a:r>
        </a:p>
      </xdr:txBody>
    </xdr:sp>
    <xdr:clientData/>
  </xdr:twoCellAnchor>
  <xdr:twoCellAnchor>
    <xdr:from>
      <xdr:col>20</xdr:col>
      <xdr:colOff>259772</xdr:colOff>
      <xdr:row>26</xdr:row>
      <xdr:rowOff>210292</xdr:rowOff>
    </xdr:from>
    <xdr:to>
      <xdr:col>21</xdr:col>
      <xdr:colOff>123700</xdr:colOff>
      <xdr:row>27</xdr:row>
      <xdr:rowOff>210291</xdr:rowOff>
    </xdr:to>
    <xdr:sp macro="" textlink="">
      <xdr:nvSpPr>
        <xdr:cNvPr id="43" name="42 CuadroTexto"/>
        <xdr:cNvSpPr txBox="1"/>
      </xdr:nvSpPr>
      <xdr:spPr>
        <a:xfrm>
          <a:off x="3926897" y="1674761"/>
          <a:ext cx="566397" cy="309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0.3</a:t>
          </a:r>
        </a:p>
      </xdr:txBody>
    </xdr:sp>
    <xdr:clientData/>
  </xdr:twoCellAnchor>
  <xdr:twoCellAnchor>
    <xdr:from>
      <xdr:col>20</xdr:col>
      <xdr:colOff>197922</xdr:colOff>
      <xdr:row>29</xdr:row>
      <xdr:rowOff>136072</xdr:rowOff>
    </xdr:from>
    <xdr:to>
      <xdr:col>21</xdr:col>
      <xdr:colOff>61850</xdr:colOff>
      <xdr:row>30</xdr:row>
      <xdr:rowOff>160811</xdr:rowOff>
    </xdr:to>
    <xdr:sp macro="" textlink="">
      <xdr:nvSpPr>
        <xdr:cNvPr id="44" name="43 CuadroTexto"/>
        <xdr:cNvSpPr txBox="1"/>
      </xdr:nvSpPr>
      <xdr:spPr>
        <a:xfrm>
          <a:off x="3865047" y="2481603"/>
          <a:ext cx="566397" cy="262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0070C0"/>
              </a:solidFill>
              <a:effectLst/>
              <a:latin typeface="+mn-lt"/>
              <a:ea typeface="+mn-ea"/>
              <a:cs typeface="+mn-cs"/>
            </a:rPr>
            <a:t>0.4</a:t>
          </a:r>
        </a:p>
        <a:p>
          <a:endParaRPr lang="es-MX" sz="1100" b="1" baseline="-25000">
            <a:solidFill>
              <a:srgbClr val="0070C0"/>
            </a:solidFill>
            <a:effectLst/>
            <a:latin typeface="+mn-lt"/>
            <a:ea typeface="+mn-ea"/>
            <a:cs typeface="+mn-cs"/>
          </a:endParaRPr>
        </a:p>
        <a:p>
          <a:endParaRPr lang="es-MX" sz="1100" b="1">
            <a:solidFill>
              <a:srgbClr val="0070C0"/>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333995</xdr:colOff>
      <xdr:row>1</xdr:row>
      <xdr:rowOff>86591</xdr:rowOff>
    </xdr:from>
    <xdr:to>
      <xdr:col>22</xdr:col>
      <xdr:colOff>1</xdr:colOff>
      <xdr:row>14</xdr:row>
      <xdr:rowOff>171696</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630877</xdr:colOff>
      <xdr:row>10</xdr:row>
      <xdr:rowOff>24740</xdr:rowOff>
    </xdr:from>
    <xdr:to>
      <xdr:col>16</xdr:col>
      <xdr:colOff>618507</xdr:colOff>
      <xdr:row>12</xdr:row>
      <xdr:rowOff>98961</xdr:rowOff>
    </xdr:to>
    <xdr:sp macro="" textlink="">
      <xdr:nvSpPr>
        <xdr:cNvPr id="3" name="2 Elipse"/>
        <xdr:cNvSpPr/>
      </xdr:nvSpPr>
      <xdr:spPr>
        <a:xfrm>
          <a:off x="8943604" y="2152402"/>
          <a:ext cx="828799" cy="49480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17</xdr:col>
      <xdr:colOff>257546</xdr:colOff>
      <xdr:row>6</xdr:row>
      <xdr:rowOff>208065</xdr:rowOff>
    </xdr:from>
    <xdr:to>
      <xdr:col>17</xdr:col>
      <xdr:colOff>752352</xdr:colOff>
      <xdr:row>11</xdr:row>
      <xdr:rowOff>208065</xdr:rowOff>
    </xdr:to>
    <xdr:sp macro="" textlink="">
      <xdr:nvSpPr>
        <xdr:cNvPr id="4" name="3 Elipse"/>
        <xdr:cNvSpPr/>
      </xdr:nvSpPr>
      <xdr:spPr>
        <a:xfrm rot="5231837">
          <a:off x="9974283" y="1772887"/>
          <a:ext cx="1051461" cy="49480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16</xdr:col>
      <xdr:colOff>14969</xdr:colOff>
      <xdr:row>10</xdr:row>
      <xdr:rowOff>98962</xdr:rowOff>
    </xdr:from>
    <xdr:to>
      <xdr:col>16</xdr:col>
      <xdr:colOff>544285</xdr:colOff>
      <xdr:row>12</xdr:row>
      <xdr:rowOff>0</xdr:rowOff>
    </xdr:to>
    <xdr:sp macro="" textlink="">
      <xdr:nvSpPr>
        <xdr:cNvPr id="5" name="4 CuadroTexto"/>
        <xdr:cNvSpPr txBox="1"/>
      </xdr:nvSpPr>
      <xdr:spPr>
        <a:xfrm>
          <a:off x="9168865" y="2226624"/>
          <a:ext cx="529316" cy="321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X10</a:t>
          </a:r>
        </a:p>
      </xdr:txBody>
    </xdr:sp>
    <xdr:clientData/>
  </xdr:twoCellAnchor>
  <xdr:twoCellAnchor>
    <xdr:from>
      <xdr:col>17</xdr:col>
      <xdr:colOff>346362</xdr:colOff>
      <xdr:row>8</xdr:row>
      <xdr:rowOff>173183</xdr:rowOff>
    </xdr:from>
    <xdr:to>
      <xdr:col>17</xdr:col>
      <xdr:colOff>841167</xdr:colOff>
      <xdr:row>9</xdr:row>
      <xdr:rowOff>185553</xdr:rowOff>
    </xdr:to>
    <xdr:sp macro="" textlink="">
      <xdr:nvSpPr>
        <xdr:cNvPr id="6" name="5 CuadroTexto"/>
        <xdr:cNvSpPr txBox="1"/>
      </xdr:nvSpPr>
      <xdr:spPr>
        <a:xfrm>
          <a:off x="10341427" y="1880261"/>
          <a:ext cx="494805" cy="222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X9</a:t>
          </a:r>
        </a:p>
        <a:p>
          <a:endParaRPr lang="es-MX" sz="1100"/>
        </a:p>
      </xdr:txBody>
    </xdr:sp>
    <xdr:clientData/>
  </xdr:twoCellAnchor>
  <xdr:twoCellAnchor>
    <xdr:from>
      <xdr:col>18</xdr:col>
      <xdr:colOff>774182</xdr:colOff>
      <xdr:row>3</xdr:row>
      <xdr:rowOff>71384</xdr:rowOff>
    </xdr:from>
    <xdr:to>
      <xdr:col>20</xdr:col>
      <xdr:colOff>691651</xdr:colOff>
      <xdr:row>6</xdr:row>
      <xdr:rowOff>71300</xdr:rowOff>
    </xdr:to>
    <xdr:sp macro="" textlink="">
      <xdr:nvSpPr>
        <xdr:cNvPr id="7" name="6 Elipse"/>
        <xdr:cNvSpPr/>
      </xdr:nvSpPr>
      <xdr:spPr>
        <a:xfrm rot="9776642">
          <a:off x="11649742" y="739556"/>
          <a:ext cx="1595006" cy="639654"/>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15</xdr:col>
      <xdr:colOff>334863</xdr:colOff>
      <xdr:row>6</xdr:row>
      <xdr:rowOff>128563</xdr:rowOff>
    </xdr:from>
    <xdr:to>
      <xdr:col>18</xdr:col>
      <xdr:colOff>383144</xdr:colOff>
      <xdr:row>13</xdr:row>
      <xdr:rowOff>178397</xdr:rowOff>
    </xdr:to>
    <xdr:sp macro="" textlink="">
      <xdr:nvSpPr>
        <xdr:cNvPr id="8" name="7 Elipse"/>
        <xdr:cNvSpPr/>
      </xdr:nvSpPr>
      <xdr:spPr>
        <a:xfrm rot="19955603">
          <a:off x="8744077" y="1394027"/>
          <a:ext cx="2579210" cy="1478584"/>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19</xdr:col>
      <xdr:colOff>27656</xdr:colOff>
      <xdr:row>0</xdr:row>
      <xdr:rowOff>185590</xdr:rowOff>
    </xdr:from>
    <xdr:to>
      <xdr:col>20</xdr:col>
      <xdr:colOff>731445</xdr:colOff>
      <xdr:row>12</xdr:row>
      <xdr:rowOff>162789</xdr:rowOff>
    </xdr:to>
    <xdr:sp macro="" textlink="">
      <xdr:nvSpPr>
        <xdr:cNvPr id="9" name="8 Elipse"/>
        <xdr:cNvSpPr/>
      </xdr:nvSpPr>
      <xdr:spPr>
        <a:xfrm rot="15437949">
          <a:off x="11230969" y="696605"/>
          <a:ext cx="2564587" cy="154255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20</xdr:col>
      <xdr:colOff>781902</xdr:colOff>
      <xdr:row>6</xdr:row>
      <xdr:rowOff>42650</xdr:rowOff>
    </xdr:from>
    <xdr:to>
      <xdr:col>21</xdr:col>
      <xdr:colOff>434908</xdr:colOff>
      <xdr:row>7</xdr:row>
      <xdr:rowOff>55271</xdr:rowOff>
    </xdr:to>
    <xdr:sp macro="" textlink="">
      <xdr:nvSpPr>
        <xdr:cNvPr id="11" name="5 CuadroTexto"/>
        <xdr:cNvSpPr txBox="1"/>
      </xdr:nvSpPr>
      <xdr:spPr>
        <a:xfrm>
          <a:off x="13334999" y="1350560"/>
          <a:ext cx="491775" cy="225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s-MX" sz="1100"/>
            <a:t>X13</a:t>
          </a:r>
        </a:p>
        <a:p>
          <a:endParaRPr lang="es-MX" sz="1100"/>
        </a:p>
        <a:p>
          <a:endParaRPr lang="es-MX" sz="1100"/>
        </a:p>
      </xdr:txBody>
    </xdr:sp>
    <xdr:clientData/>
  </xdr:twoCellAnchor>
  <xdr:twoCellAnchor>
    <xdr:from>
      <xdr:col>16</xdr:col>
      <xdr:colOff>127949</xdr:colOff>
      <xdr:row>2</xdr:row>
      <xdr:rowOff>1</xdr:rowOff>
    </xdr:from>
    <xdr:to>
      <xdr:col>17</xdr:col>
      <xdr:colOff>831738</xdr:colOff>
      <xdr:row>14</xdr:row>
      <xdr:rowOff>5632</xdr:rowOff>
    </xdr:to>
    <xdr:sp macro="" textlink="">
      <xdr:nvSpPr>
        <xdr:cNvPr id="12" name="11 Elipse"/>
        <xdr:cNvSpPr/>
      </xdr:nvSpPr>
      <xdr:spPr>
        <a:xfrm rot="15437949">
          <a:off x="8814956" y="965941"/>
          <a:ext cx="2564587" cy="154255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17</xdr:col>
      <xdr:colOff>611306</xdr:colOff>
      <xdr:row>3</xdr:row>
      <xdr:rowOff>0</xdr:rowOff>
    </xdr:from>
    <xdr:to>
      <xdr:col>18</xdr:col>
      <xdr:colOff>264312</xdr:colOff>
      <xdr:row>4</xdr:row>
      <xdr:rowOff>12622</xdr:rowOff>
    </xdr:to>
    <xdr:sp macro="" textlink="">
      <xdr:nvSpPr>
        <xdr:cNvPr id="13" name="5 CuadroTexto"/>
        <xdr:cNvSpPr txBox="1"/>
      </xdr:nvSpPr>
      <xdr:spPr>
        <a:xfrm>
          <a:off x="10648097" y="668172"/>
          <a:ext cx="491775" cy="225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s-MX" sz="1100"/>
            <a:t>X14</a:t>
          </a:r>
        </a:p>
        <a:p>
          <a:endParaRPr lang="es-MX" sz="1100"/>
        </a:p>
        <a:p>
          <a:endParaRPr lang="es-MX"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0.63828</cdr:x>
      <cdr:y>0.21699</cdr:y>
    </cdr:from>
    <cdr:to>
      <cdr:x>0.72709</cdr:x>
      <cdr:y>0.29604</cdr:y>
    </cdr:to>
    <cdr:sp macro="" textlink="">
      <cdr:nvSpPr>
        <cdr:cNvPr id="3" name="5 CuadroTexto"/>
        <cdr:cNvSpPr txBox="1"/>
      </cdr:nvSpPr>
      <cdr:spPr>
        <a:xfrm xmlns:a="http://schemas.openxmlformats.org/drawingml/2006/main">
          <a:off x="3534420" y="619995"/>
          <a:ext cx="491775" cy="22586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MX" sz="1100"/>
            <a:t>X11</a:t>
          </a:r>
        </a:p>
        <a:p xmlns:a="http://schemas.openxmlformats.org/drawingml/2006/main">
          <a:endParaRPr lang="es-MX" sz="1100"/>
        </a:p>
        <a:p xmlns:a="http://schemas.openxmlformats.org/drawingml/2006/main">
          <a:endParaRPr lang="es-MX" sz="1100"/>
        </a:p>
      </cdr:txBody>
    </cdr:sp>
  </cdr:relSizeAnchor>
  <cdr:relSizeAnchor xmlns:cdr="http://schemas.openxmlformats.org/drawingml/2006/chartDrawing">
    <cdr:from>
      <cdr:x>0.24602</cdr:x>
      <cdr:y>0.23718</cdr:y>
    </cdr:from>
    <cdr:to>
      <cdr:x>0.33483</cdr:x>
      <cdr:y>0.31623</cdr:y>
    </cdr:to>
    <cdr:sp macro="" textlink="">
      <cdr:nvSpPr>
        <cdr:cNvPr id="4" name="5 CuadroTexto"/>
        <cdr:cNvSpPr txBox="1"/>
      </cdr:nvSpPr>
      <cdr:spPr>
        <a:xfrm xmlns:a="http://schemas.openxmlformats.org/drawingml/2006/main">
          <a:off x="1370692" y="649515"/>
          <a:ext cx="494805" cy="21647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MX" sz="1100"/>
            <a:t>X12</a:t>
          </a:r>
        </a:p>
      </cdr:txBody>
    </cdr:sp>
  </cdr:relSizeAnchor>
</c:userShapes>
</file>

<file path=xl/drawings/drawing6.xml><?xml version="1.0" encoding="utf-8"?>
<xdr:wsDr xmlns:xdr="http://schemas.openxmlformats.org/drawingml/2006/spreadsheetDrawing" xmlns:a="http://schemas.openxmlformats.org/drawingml/2006/main">
  <xdr:twoCellAnchor>
    <xdr:from>
      <xdr:col>10</xdr:col>
      <xdr:colOff>1</xdr:colOff>
      <xdr:row>1</xdr:row>
      <xdr:rowOff>86590</xdr:rowOff>
    </xdr:from>
    <xdr:to>
      <xdr:col>22</xdr:col>
      <xdr:colOff>184814</xdr:colOff>
      <xdr:row>25</xdr:row>
      <xdr:rowOff>199028</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199784</xdr:colOff>
      <xdr:row>17</xdr:row>
      <xdr:rowOff>170043</xdr:rowOff>
    </xdr:from>
    <xdr:to>
      <xdr:col>11</xdr:col>
      <xdr:colOff>231525</xdr:colOff>
      <xdr:row>19</xdr:row>
      <xdr:rowOff>71080</xdr:rowOff>
    </xdr:to>
    <xdr:sp macro="" textlink="">
      <xdr:nvSpPr>
        <xdr:cNvPr id="5" name="4 CuadroTexto"/>
        <xdr:cNvSpPr txBox="1"/>
      </xdr:nvSpPr>
      <xdr:spPr>
        <a:xfrm>
          <a:off x="6213329" y="3823662"/>
          <a:ext cx="529315" cy="327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X1</a:t>
          </a:r>
        </a:p>
        <a:p>
          <a:endParaRPr lang="es-MX" sz="1100"/>
        </a:p>
      </xdr:txBody>
    </xdr:sp>
    <xdr:clientData/>
  </xdr:twoCellAnchor>
  <xdr:twoCellAnchor>
    <xdr:from>
      <xdr:col>15</xdr:col>
      <xdr:colOff>104683</xdr:colOff>
      <xdr:row>19</xdr:row>
      <xdr:rowOff>87886</xdr:rowOff>
    </xdr:from>
    <xdr:to>
      <xdr:col>15</xdr:col>
      <xdr:colOff>599488</xdr:colOff>
      <xdr:row>20</xdr:row>
      <xdr:rowOff>100256</xdr:rowOff>
    </xdr:to>
    <xdr:sp macro="" textlink="">
      <xdr:nvSpPr>
        <xdr:cNvPr id="6" name="5 CuadroTexto"/>
        <xdr:cNvSpPr txBox="1"/>
      </xdr:nvSpPr>
      <xdr:spPr>
        <a:xfrm>
          <a:off x="8463937" y="4167998"/>
          <a:ext cx="494805" cy="225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X3</a:t>
          </a:r>
        </a:p>
        <a:p>
          <a:endParaRPr lang="es-MX" sz="1100"/>
        </a:p>
      </xdr:txBody>
    </xdr:sp>
    <xdr:clientData/>
  </xdr:twoCellAnchor>
  <xdr:twoCellAnchor>
    <xdr:from>
      <xdr:col>19</xdr:col>
      <xdr:colOff>369627</xdr:colOff>
      <xdr:row>18</xdr:row>
      <xdr:rowOff>170596</xdr:rowOff>
    </xdr:from>
    <xdr:to>
      <xdr:col>20</xdr:col>
      <xdr:colOff>22632</xdr:colOff>
      <xdr:row>19</xdr:row>
      <xdr:rowOff>183218</xdr:rowOff>
    </xdr:to>
    <xdr:sp macro="" textlink="">
      <xdr:nvSpPr>
        <xdr:cNvPr id="10" name="5 CuadroTexto"/>
        <xdr:cNvSpPr txBox="1"/>
      </xdr:nvSpPr>
      <xdr:spPr>
        <a:xfrm>
          <a:off x="12083955" y="4037462"/>
          <a:ext cx="491774" cy="225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s-MX" sz="1100"/>
            <a:t>X5</a:t>
          </a:r>
        </a:p>
        <a:p>
          <a:endParaRPr lang="es-MX" sz="1100"/>
        </a:p>
        <a:p>
          <a:endParaRPr lang="es-MX" sz="1100"/>
        </a:p>
      </xdr:txBody>
    </xdr:sp>
    <xdr:clientData/>
  </xdr:twoCellAnchor>
  <xdr:twoCellAnchor>
    <xdr:from>
      <xdr:col>13</xdr:col>
      <xdr:colOff>241679</xdr:colOff>
      <xdr:row>3</xdr:row>
      <xdr:rowOff>14216</xdr:rowOff>
    </xdr:from>
    <xdr:to>
      <xdr:col>14</xdr:col>
      <xdr:colOff>221662</xdr:colOff>
      <xdr:row>4</xdr:row>
      <xdr:rowOff>26838</xdr:rowOff>
    </xdr:to>
    <xdr:sp macro="" textlink="">
      <xdr:nvSpPr>
        <xdr:cNvPr id="12" name="5 CuadroTexto"/>
        <xdr:cNvSpPr txBox="1"/>
      </xdr:nvSpPr>
      <xdr:spPr>
        <a:xfrm>
          <a:off x="7577351" y="682388"/>
          <a:ext cx="491774" cy="225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s-MX" sz="1100"/>
            <a:t>X4</a:t>
          </a:r>
        </a:p>
        <a:p>
          <a:endParaRPr lang="es-MX" sz="1100"/>
        </a:p>
        <a:p>
          <a:endParaRPr lang="es-MX" sz="1100"/>
        </a:p>
      </xdr:txBody>
    </xdr:sp>
    <xdr:clientData/>
  </xdr:twoCellAnchor>
  <xdr:twoCellAnchor>
    <xdr:from>
      <xdr:col>12</xdr:col>
      <xdr:colOff>113732</xdr:colOff>
      <xdr:row>20</xdr:row>
      <xdr:rowOff>42648</xdr:rowOff>
    </xdr:from>
    <xdr:to>
      <xdr:col>13</xdr:col>
      <xdr:colOff>316070</xdr:colOff>
      <xdr:row>21</xdr:row>
      <xdr:rowOff>156932</xdr:rowOff>
    </xdr:to>
    <xdr:sp macro="" textlink="">
      <xdr:nvSpPr>
        <xdr:cNvPr id="13" name="12 CuadroTexto"/>
        <xdr:cNvSpPr txBox="1"/>
      </xdr:nvSpPr>
      <xdr:spPr>
        <a:xfrm>
          <a:off x="7122426" y="4336006"/>
          <a:ext cx="529316" cy="327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X6</a:t>
          </a:r>
        </a:p>
        <a:p>
          <a:endParaRPr lang="es-MX" sz="1100"/>
        </a:p>
      </xdr:txBody>
    </xdr:sp>
    <xdr:clientData/>
  </xdr:twoCellAnchor>
  <xdr:twoCellAnchor>
    <xdr:from>
      <xdr:col>10</xdr:col>
      <xdr:colOff>982</xdr:colOff>
      <xdr:row>2</xdr:row>
      <xdr:rowOff>39130</xdr:rowOff>
    </xdr:from>
    <xdr:to>
      <xdr:col>15</xdr:col>
      <xdr:colOff>499550</xdr:colOff>
      <xdr:row>25</xdr:row>
      <xdr:rowOff>39776</xdr:rowOff>
    </xdr:to>
    <xdr:sp macro="" textlink="">
      <xdr:nvSpPr>
        <xdr:cNvPr id="14" name="13 Elipse"/>
        <xdr:cNvSpPr/>
      </xdr:nvSpPr>
      <xdr:spPr>
        <a:xfrm rot="4783855">
          <a:off x="4984010" y="1524572"/>
          <a:ext cx="4905311" cy="2844277"/>
        </a:xfrm>
        <a:prstGeom prst="ellipse">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noFill/>
          </a:endParaRPr>
        </a:p>
      </xdr:txBody>
    </xdr:sp>
    <xdr:clientData/>
  </xdr:twoCellAnchor>
  <xdr:twoCellAnchor>
    <xdr:from>
      <xdr:col>18</xdr:col>
      <xdr:colOff>55956</xdr:colOff>
      <xdr:row>4</xdr:row>
      <xdr:rowOff>121400</xdr:rowOff>
    </xdr:from>
    <xdr:to>
      <xdr:col>20</xdr:col>
      <xdr:colOff>403852</xdr:colOff>
      <xdr:row>20</xdr:row>
      <xdr:rowOff>25045</xdr:rowOff>
    </xdr:to>
    <xdr:sp macro="" textlink="">
      <xdr:nvSpPr>
        <xdr:cNvPr id="15" name="14 Elipse"/>
        <xdr:cNvSpPr/>
      </xdr:nvSpPr>
      <xdr:spPr>
        <a:xfrm rot="4783855">
          <a:off x="10415403" y="1355239"/>
          <a:ext cx="3169359" cy="2035181"/>
        </a:xfrm>
        <a:prstGeom prst="ellipse">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no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0.57573</cdr:x>
      <cdr:y>0.26725</cdr:y>
    </cdr:from>
    <cdr:to>
      <cdr:x>0.66454</cdr:x>
      <cdr:y>0.3463</cdr:y>
    </cdr:to>
    <cdr:sp macro="" textlink="">
      <cdr:nvSpPr>
        <cdr:cNvPr id="3" name="5 CuadroTexto"/>
        <cdr:cNvSpPr txBox="1"/>
      </cdr:nvSpPr>
      <cdr:spPr>
        <a:xfrm xmlns:a="http://schemas.openxmlformats.org/drawingml/2006/main">
          <a:off x="4837241" y="1397815"/>
          <a:ext cx="746174" cy="4134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MX" sz="1100"/>
            <a:t>X2</a:t>
          </a:r>
        </a:p>
        <a:p xmlns:a="http://schemas.openxmlformats.org/drawingml/2006/main">
          <a:endParaRPr lang="es-MX" sz="1100"/>
        </a:p>
        <a:p xmlns:a="http://schemas.openxmlformats.org/drawingml/2006/main">
          <a:endParaRPr lang="es-MX" sz="1100"/>
        </a:p>
        <a:p xmlns:a="http://schemas.openxmlformats.org/drawingml/2006/main">
          <a:endParaRPr lang="es-MX" sz="1100"/>
        </a:p>
        <a:p xmlns:a="http://schemas.openxmlformats.org/drawingml/2006/main">
          <a:endParaRPr lang="es-MX" sz="1100"/>
        </a:p>
        <a:p xmlns:a="http://schemas.openxmlformats.org/drawingml/2006/main">
          <a:endParaRPr lang="es-MX" sz="1100"/>
        </a:p>
      </cdr:txBody>
    </cdr:sp>
  </cdr:relSizeAnchor>
  <cdr:relSizeAnchor xmlns:cdr="http://schemas.openxmlformats.org/drawingml/2006/chartDrawing">
    <cdr:from>
      <cdr:x>0.28797</cdr:x>
      <cdr:y>0.46071</cdr:y>
    </cdr:from>
    <cdr:to>
      <cdr:x>0.37678</cdr:x>
      <cdr:y>0.53976</cdr:y>
    </cdr:to>
    <cdr:sp macro="" textlink="">
      <cdr:nvSpPr>
        <cdr:cNvPr id="4" name="5 CuadroTexto"/>
        <cdr:cNvSpPr txBox="1"/>
      </cdr:nvSpPr>
      <cdr:spPr>
        <a:xfrm xmlns:a="http://schemas.openxmlformats.org/drawingml/2006/main">
          <a:off x="2419521" y="2409658"/>
          <a:ext cx="746172" cy="4134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MX" sz="1100"/>
            <a:t>X7</a:t>
          </a:r>
        </a:p>
      </cdr:txBody>
    </cdr:sp>
  </cdr:relSizeAnchor>
  <cdr:relSizeAnchor xmlns:cdr="http://schemas.openxmlformats.org/drawingml/2006/chartDrawing">
    <cdr:from>
      <cdr:x>0.75114</cdr:x>
      <cdr:y>0.13719</cdr:y>
    </cdr:from>
    <cdr:to>
      <cdr:x>0.83995</cdr:x>
      <cdr:y>0.21624</cdr:y>
    </cdr:to>
    <cdr:sp macro="" textlink="">
      <cdr:nvSpPr>
        <cdr:cNvPr id="5" name="5 CuadroTexto"/>
        <cdr:cNvSpPr txBox="1"/>
      </cdr:nvSpPr>
      <cdr:spPr>
        <a:xfrm xmlns:a="http://schemas.openxmlformats.org/drawingml/2006/main">
          <a:off x="4159345" y="391993"/>
          <a:ext cx="491776" cy="22587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MX" sz="1100"/>
            <a:t>X8</a:t>
          </a:r>
        </a:p>
        <a:p xmlns:a="http://schemas.openxmlformats.org/drawingml/2006/main">
          <a:endParaRPr lang="es-MX" sz="1100"/>
        </a:p>
        <a:p xmlns:a="http://schemas.openxmlformats.org/drawingml/2006/main">
          <a:endParaRPr lang="es-MX" sz="1100"/>
        </a:p>
        <a:p xmlns:a="http://schemas.openxmlformats.org/drawingml/2006/main">
          <a:endParaRPr lang="es-MX" sz="1100"/>
        </a:p>
        <a:p xmlns:a="http://schemas.openxmlformats.org/drawingml/2006/main">
          <a:endParaRPr lang="es-MX" sz="1100"/>
        </a:p>
        <a:p xmlns:a="http://schemas.openxmlformats.org/drawingml/2006/main">
          <a:endParaRPr lang="es-MX" sz="1100"/>
        </a:p>
      </cdr:txBody>
    </cdr:sp>
  </cdr:relSizeAnchor>
  <cdr:relSizeAnchor xmlns:cdr="http://schemas.openxmlformats.org/drawingml/2006/chartDrawing">
    <cdr:from>
      <cdr:x>0.2758</cdr:x>
      <cdr:y>0.16012</cdr:y>
    </cdr:from>
    <cdr:to>
      <cdr:x>0.34856</cdr:x>
      <cdr:y>0.2471</cdr:y>
    </cdr:to>
    <cdr:sp macro="" textlink="">
      <cdr:nvSpPr>
        <cdr:cNvPr id="6" name="5 CuadroTexto"/>
        <cdr:cNvSpPr txBox="1"/>
      </cdr:nvSpPr>
      <cdr:spPr>
        <a:xfrm xmlns:a="http://schemas.openxmlformats.org/drawingml/2006/main">
          <a:off x="2317275" y="837477"/>
          <a:ext cx="611306" cy="4549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MX" sz="1600" b="1">
              <a:solidFill>
                <a:srgbClr val="0070C0"/>
              </a:solidFill>
            </a:rPr>
            <a:t>g1</a:t>
          </a:r>
        </a:p>
      </cdr:txBody>
    </cdr:sp>
  </cdr:relSizeAnchor>
  <cdr:relSizeAnchor xmlns:cdr="http://schemas.openxmlformats.org/drawingml/2006/chartDrawing">
    <cdr:from>
      <cdr:x>0.82331</cdr:x>
      <cdr:y>0.21629</cdr:y>
    </cdr:from>
    <cdr:to>
      <cdr:x>0.89606</cdr:x>
      <cdr:y>0.30326</cdr:y>
    </cdr:to>
    <cdr:sp macro="" textlink="">
      <cdr:nvSpPr>
        <cdr:cNvPr id="7" name="1 CuadroTexto"/>
        <cdr:cNvSpPr txBox="1"/>
      </cdr:nvSpPr>
      <cdr:spPr>
        <a:xfrm xmlns:a="http://schemas.openxmlformats.org/drawingml/2006/main">
          <a:off x="6917330" y="1131248"/>
          <a:ext cx="611306" cy="4549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MX" sz="1600" b="1">
              <a:solidFill>
                <a:srgbClr val="0070C0"/>
              </a:solidFill>
            </a:rPr>
            <a:t>g2</a:t>
          </a:r>
        </a:p>
      </cdr:txBody>
    </cdr:sp>
  </cdr:relSizeAnchor>
  <cdr:relSizeAnchor xmlns:cdr="http://schemas.openxmlformats.org/drawingml/2006/chartDrawing">
    <cdr:from>
      <cdr:x>0.0382</cdr:x>
      <cdr:y>0.64574</cdr:y>
    </cdr:from>
    <cdr:to>
      <cdr:x>0.10119</cdr:x>
      <cdr:y>0.70836</cdr:y>
    </cdr:to>
    <cdr:sp macro="" textlink="">
      <cdr:nvSpPr>
        <cdr:cNvPr id="8" name="12 CuadroTexto"/>
        <cdr:cNvSpPr txBox="1"/>
      </cdr:nvSpPr>
      <cdr:spPr>
        <a:xfrm xmlns:a="http://schemas.openxmlformats.org/drawingml/2006/main">
          <a:off x="320911" y="3377441"/>
          <a:ext cx="529316" cy="32753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MX" sz="1200" b="1">
              <a:solidFill>
                <a:srgbClr val="FF0000"/>
              </a:solidFill>
            </a:rPr>
            <a:t>C1</a:t>
          </a:r>
        </a:p>
        <a:p xmlns:a="http://schemas.openxmlformats.org/drawingml/2006/main">
          <a:endParaRPr lang="es-MX" sz="1100"/>
        </a:p>
      </cdr:txBody>
    </cdr:sp>
  </cdr:relSizeAnchor>
  <cdr:relSizeAnchor xmlns:cdr="http://schemas.openxmlformats.org/drawingml/2006/chartDrawing">
    <cdr:from>
      <cdr:x>0.59995</cdr:x>
      <cdr:y>0.26249</cdr:y>
    </cdr:from>
    <cdr:to>
      <cdr:x>0.66295</cdr:x>
      <cdr:y>0.32511</cdr:y>
    </cdr:to>
    <cdr:sp macro="" textlink="">
      <cdr:nvSpPr>
        <cdr:cNvPr id="9" name="12 CuadroTexto"/>
        <cdr:cNvSpPr txBox="1"/>
      </cdr:nvSpPr>
      <cdr:spPr>
        <a:xfrm xmlns:a="http://schemas.openxmlformats.org/drawingml/2006/main">
          <a:off x="5040763" y="1372927"/>
          <a:ext cx="529316" cy="32753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MX" sz="1200" b="1">
              <a:solidFill>
                <a:srgbClr val="FF0000"/>
              </a:solidFill>
            </a:rPr>
            <a:t>C2</a:t>
          </a:r>
        </a:p>
        <a:p xmlns:a="http://schemas.openxmlformats.org/drawingml/2006/main">
          <a:endParaRPr lang="es-MX" sz="1200" b="1">
            <a:solidFill>
              <a:srgbClr val="FF0000"/>
            </a:solidFill>
          </a:endParaRPr>
        </a:p>
        <a:p xmlns:a="http://schemas.openxmlformats.org/drawingml/2006/main">
          <a:endParaRPr lang="es-MX" sz="1100"/>
        </a:p>
      </cdr:txBody>
    </cdr:sp>
  </cdr:relSizeAnchor>
</c:userShapes>
</file>

<file path=xl/theme/theme1.xml><?xml version="1.0" encoding="utf-8"?>
<a:theme xmlns:a="http://schemas.openxmlformats.org/drawingml/2006/main" name="Tema de Office">
  <a:themeElements>
    <a:clrScheme name="Compuesto">
      <a:dk1>
        <a:sysClr val="windowText" lastClr="000000"/>
      </a:dk1>
      <a:lt1>
        <a:sysClr val="window" lastClr="FFFFFF"/>
      </a:lt1>
      <a:dk2>
        <a:srgbClr val="5B6973"/>
      </a:dk2>
      <a:lt2>
        <a:srgbClr val="E7ECED"/>
      </a:lt2>
      <a:accent1>
        <a:srgbClr val="98C723"/>
      </a:accent1>
      <a:accent2>
        <a:srgbClr val="59B0B9"/>
      </a:accent2>
      <a:accent3>
        <a:srgbClr val="DEAE00"/>
      </a:accent3>
      <a:accent4>
        <a:srgbClr val="B77BB4"/>
      </a:accent4>
      <a:accent5>
        <a:srgbClr val="E0773C"/>
      </a:accent5>
      <a:accent6>
        <a:srgbClr val="A98D63"/>
      </a:accent6>
      <a:hlink>
        <a:srgbClr val="26CBEC"/>
      </a:hlink>
      <a:folHlink>
        <a:srgbClr val="598C8C"/>
      </a:folHlink>
    </a:clrScheme>
    <a:fontScheme name="Brío">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
  <sheetViews>
    <sheetView tabSelected="1" workbookViewId="0">
      <selection activeCell="D16" sqref="D16"/>
    </sheetView>
  </sheetViews>
  <sheetFormatPr baseColWidth="10" defaultRowHeight="16.5" x14ac:dyDescent="0.3"/>
  <sheetData>
    <row r="1" spans="2:8" ht="17.25" thickBot="1" x14ac:dyDescent="0.35"/>
    <row r="2" spans="2:8" ht="24" x14ac:dyDescent="0.35">
      <c r="B2" s="197" t="s">
        <v>254</v>
      </c>
      <c r="C2" s="198"/>
      <c r="D2" s="198"/>
      <c r="E2" s="198"/>
      <c r="F2" s="198"/>
      <c r="G2" s="198"/>
      <c r="H2" s="199"/>
    </row>
    <row r="3" spans="2:8" x14ac:dyDescent="0.3">
      <c r="B3" s="200"/>
      <c r="C3" s="14"/>
      <c r="D3" s="14"/>
      <c r="E3" s="14"/>
      <c r="F3" s="14"/>
      <c r="G3" s="14"/>
      <c r="H3" s="201"/>
    </row>
    <row r="4" spans="2:8" x14ac:dyDescent="0.3">
      <c r="B4" s="200"/>
      <c r="C4" s="14"/>
      <c r="D4" s="14"/>
      <c r="E4" s="14"/>
      <c r="F4" s="14"/>
      <c r="G4" s="14"/>
      <c r="H4" s="201"/>
    </row>
    <row r="5" spans="2:8" ht="20.25" x14ac:dyDescent="0.3">
      <c r="B5" s="200"/>
      <c r="C5" s="14"/>
      <c r="D5" s="196" t="s">
        <v>255</v>
      </c>
      <c r="E5" s="196"/>
      <c r="F5" s="196"/>
      <c r="G5" s="14"/>
      <c r="H5" s="201"/>
    </row>
    <row r="6" spans="2:8" x14ac:dyDescent="0.3">
      <c r="B6" s="200"/>
      <c r="C6" s="14"/>
      <c r="D6" s="14"/>
      <c r="E6" s="14"/>
      <c r="F6" s="14"/>
      <c r="G6" s="14"/>
      <c r="H6" s="201"/>
    </row>
    <row r="7" spans="2:8" x14ac:dyDescent="0.3">
      <c r="B7" s="200"/>
      <c r="C7" s="14"/>
      <c r="D7" s="14"/>
      <c r="E7" s="14"/>
      <c r="F7" s="14"/>
      <c r="G7" s="14"/>
      <c r="H7" s="201"/>
    </row>
    <row r="8" spans="2:8" ht="20.25" x14ac:dyDescent="0.3">
      <c r="B8" s="200"/>
      <c r="C8" s="14"/>
      <c r="D8" s="205" t="s">
        <v>256</v>
      </c>
      <c r="E8" s="205"/>
      <c r="F8" s="205"/>
      <c r="G8" s="14"/>
      <c r="H8" s="201"/>
    </row>
    <row r="9" spans="2:8" x14ac:dyDescent="0.3">
      <c r="B9" s="200"/>
      <c r="C9" s="14"/>
      <c r="D9" s="14"/>
      <c r="E9" s="14"/>
      <c r="F9" s="14"/>
      <c r="G9" s="14"/>
      <c r="H9" s="201"/>
    </row>
    <row r="10" spans="2:8" ht="20.25" x14ac:dyDescent="0.3">
      <c r="B10" s="200"/>
      <c r="C10" s="196" t="s">
        <v>257</v>
      </c>
      <c r="D10" s="196"/>
      <c r="E10" s="196"/>
      <c r="F10" s="196"/>
      <c r="G10" s="196"/>
      <c r="H10" s="201"/>
    </row>
    <row r="11" spans="2:8" x14ac:dyDescent="0.3">
      <c r="B11" s="200"/>
      <c r="C11" s="14"/>
      <c r="D11" s="14"/>
      <c r="E11" s="14"/>
      <c r="F11" s="14"/>
      <c r="G11" s="14"/>
      <c r="H11" s="201"/>
    </row>
    <row r="12" spans="2:8" ht="17.25" thickBot="1" x14ac:dyDescent="0.35">
      <c r="B12" s="202"/>
      <c r="C12" s="203"/>
      <c r="D12" s="203"/>
      <c r="E12" s="203"/>
      <c r="F12" s="203"/>
      <c r="G12" s="203"/>
      <c r="H12" s="204"/>
    </row>
  </sheetData>
  <mergeCells count="4">
    <mergeCell ref="B2:H2"/>
    <mergeCell ref="C10:G10"/>
    <mergeCell ref="D8:F8"/>
    <mergeCell ref="D5:F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zoomScale="90" zoomScaleNormal="90" workbookViewId="0">
      <selection activeCell="J17" sqref="J17"/>
    </sheetView>
  </sheetViews>
  <sheetFormatPr baseColWidth="10" defaultRowHeight="16.5" x14ac:dyDescent="0.3"/>
  <cols>
    <col min="1" max="1" width="12.5" customWidth="1"/>
    <col min="2" max="2" width="6.625" customWidth="1"/>
    <col min="3" max="4" width="12.125" customWidth="1"/>
    <col min="5" max="5" width="3.625" customWidth="1"/>
    <col min="6" max="6" width="7.5" customWidth="1"/>
    <col min="7" max="8" width="9.375" customWidth="1"/>
    <col min="9" max="9" width="6.375" customWidth="1"/>
    <col min="10" max="10" width="5.875" customWidth="1"/>
    <col min="11" max="11" width="7.125" customWidth="1"/>
    <col min="12" max="13" width="6.5" customWidth="1"/>
    <col min="14" max="14" width="4.375" customWidth="1"/>
    <col min="15" max="16" width="6.75" customWidth="1"/>
  </cols>
  <sheetData>
    <row r="1" spans="1:21" ht="18.75" x14ac:dyDescent="0.3">
      <c r="A1" s="24" t="s">
        <v>101</v>
      </c>
    </row>
    <row r="2" spans="1:21" ht="16.5" customHeight="1" x14ac:dyDescent="0.3">
      <c r="A2" s="155" t="s">
        <v>238</v>
      </c>
      <c r="B2" s="155"/>
      <c r="C2" s="155"/>
      <c r="D2" s="155"/>
      <c r="E2" s="155"/>
      <c r="F2" s="155"/>
      <c r="G2" s="155"/>
      <c r="H2" s="155"/>
      <c r="I2" s="155"/>
      <c r="J2" s="155"/>
      <c r="K2" s="155"/>
      <c r="L2" s="155"/>
      <c r="M2" s="155"/>
      <c r="N2" s="155"/>
      <c r="O2" s="155"/>
      <c r="P2" s="155"/>
      <c r="Q2" s="155"/>
      <c r="R2" s="155"/>
      <c r="S2" s="155"/>
      <c r="T2" s="155"/>
      <c r="U2" s="155"/>
    </row>
    <row r="3" spans="1:21" x14ac:dyDescent="0.3">
      <c r="A3" s="155"/>
      <c r="B3" s="155"/>
      <c r="C3" s="155"/>
      <c r="D3" s="155"/>
      <c r="E3" s="155"/>
      <c r="F3" s="155"/>
      <c r="G3" s="155"/>
      <c r="H3" s="155"/>
      <c r="I3" s="155"/>
      <c r="J3" s="155"/>
      <c r="K3" s="155"/>
      <c r="L3" s="155"/>
      <c r="M3" s="155"/>
      <c r="N3" s="155"/>
      <c r="O3" s="155"/>
      <c r="P3" s="155"/>
      <c r="Q3" s="155"/>
      <c r="R3" s="155"/>
      <c r="S3" s="155"/>
      <c r="T3" s="155"/>
      <c r="U3" s="155"/>
    </row>
    <row r="5" spans="1:21" ht="17.25" x14ac:dyDescent="0.3">
      <c r="A5" s="178" t="s">
        <v>239</v>
      </c>
      <c r="B5" s="178" t="s">
        <v>240</v>
      </c>
      <c r="C5" s="178" t="s">
        <v>241</v>
      </c>
      <c r="D5" s="30"/>
      <c r="F5" s="188" t="s">
        <v>242</v>
      </c>
      <c r="G5" s="188"/>
      <c r="H5" s="188"/>
    </row>
    <row r="6" spans="1:21" ht="17.25" customHeight="1" thickBot="1" x14ac:dyDescent="0.35">
      <c r="A6" s="181">
        <v>1</v>
      </c>
      <c r="B6" s="181">
        <v>0</v>
      </c>
      <c r="C6" s="181">
        <v>0</v>
      </c>
      <c r="D6" s="30"/>
      <c r="F6" s="185"/>
      <c r="G6" s="187"/>
      <c r="H6" s="187"/>
    </row>
    <row r="7" spans="1:21" ht="21" thickBot="1" x14ac:dyDescent="0.35">
      <c r="A7" s="181">
        <v>2</v>
      </c>
      <c r="B7" s="181">
        <v>1</v>
      </c>
      <c r="C7" s="181">
        <v>1</v>
      </c>
      <c r="D7" s="30"/>
      <c r="E7" s="182"/>
      <c r="F7" s="185"/>
      <c r="G7" s="189" t="s">
        <v>56</v>
      </c>
      <c r="H7" s="189" t="s">
        <v>57</v>
      </c>
    </row>
    <row r="8" spans="1:21" ht="18" customHeight="1" x14ac:dyDescent="0.3">
      <c r="A8" s="181">
        <v>3</v>
      </c>
      <c r="B8" s="181">
        <v>1</v>
      </c>
      <c r="C8" s="181">
        <v>0</v>
      </c>
      <c r="D8" s="30"/>
      <c r="E8" s="186" t="s">
        <v>243</v>
      </c>
      <c r="F8" s="183" t="s">
        <v>56</v>
      </c>
      <c r="G8" s="190">
        <v>3</v>
      </c>
      <c r="H8" s="190">
        <v>0</v>
      </c>
      <c r="I8" s="192">
        <v>3</v>
      </c>
      <c r="K8" s="194" t="s">
        <v>245</v>
      </c>
      <c r="L8" s="194" t="s">
        <v>246</v>
      </c>
    </row>
    <row r="9" spans="1:21" ht="18" customHeight="1" thickBot="1" x14ac:dyDescent="0.35">
      <c r="A9" s="181">
        <v>4</v>
      </c>
      <c r="B9" s="181">
        <v>1</v>
      </c>
      <c r="C9" s="181">
        <v>0</v>
      </c>
      <c r="D9" s="30"/>
      <c r="E9" s="186"/>
      <c r="F9" s="184"/>
      <c r="G9" s="191"/>
      <c r="H9" s="191"/>
      <c r="I9" s="192"/>
      <c r="K9" s="194"/>
      <c r="L9" s="194"/>
    </row>
    <row r="10" spans="1:21" ht="20.25" customHeight="1" thickBot="1" x14ac:dyDescent="0.35">
      <c r="A10" s="181">
        <v>5</v>
      </c>
      <c r="B10" s="181">
        <v>1</v>
      </c>
      <c r="C10" s="181">
        <v>1</v>
      </c>
      <c r="D10" s="30"/>
      <c r="E10" s="186"/>
      <c r="F10" s="180" t="s">
        <v>57</v>
      </c>
      <c r="G10" s="190">
        <v>2</v>
      </c>
      <c r="H10" s="190">
        <v>3</v>
      </c>
      <c r="I10" s="192">
        <v>5</v>
      </c>
      <c r="K10" s="194" t="s">
        <v>247</v>
      </c>
      <c r="L10" s="194" t="s">
        <v>248</v>
      </c>
    </row>
    <row r="11" spans="1:21" ht="18" customHeight="1" thickBot="1" x14ac:dyDescent="0.35">
      <c r="A11" s="181">
        <v>6</v>
      </c>
      <c r="B11" s="181">
        <v>0</v>
      </c>
      <c r="C11" s="181">
        <v>0</v>
      </c>
      <c r="D11" s="30"/>
      <c r="E11" s="186"/>
      <c r="F11" s="179"/>
      <c r="G11" s="191"/>
      <c r="H11" s="191"/>
      <c r="I11" s="192"/>
      <c r="K11" s="194"/>
      <c r="L11" s="194"/>
    </row>
    <row r="12" spans="1:21" ht="17.25" x14ac:dyDescent="0.3">
      <c r="A12" s="181">
        <v>7</v>
      </c>
      <c r="B12" s="181">
        <v>0</v>
      </c>
      <c r="C12" s="181">
        <v>0</v>
      </c>
      <c r="D12" s="30"/>
      <c r="G12" s="193">
        <f>+SUM(G8:G11)</f>
        <v>5</v>
      </c>
      <c r="H12" s="193">
        <f>+SUM(H8:H11)</f>
        <v>3</v>
      </c>
    </row>
    <row r="13" spans="1:21" ht="17.25" x14ac:dyDescent="0.3">
      <c r="A13" s="181">
        <v>8</v>
      </c>
      <c r="B13" s="181">
        <v>1</v>
      </c>
      <c r="C13" s="181">
        <v>1</v>
      </c>
      <c r="D13" s="30"/>
    </row>
    <row r="15" spans="1:21" ht="17.25" x14ac:dyDescent="0.3">
      <c r="A15" s="124" t="s">
        <v>244</v>
      </c>
      <c r="B15" s="195">
        <f>G8/I8</f>
        <v>1</v>
      </c>
    </row>
    <row r="16" spans="1:21" ht="17.25" x14ac:dyDescent="0.3">
      <c r="A16" s="124" t="s">
        <v>249</v>
      </c>
      <c r="B16" s="195">
        <f>G8/G12</f>
        <v>0.6</v>
      </c>
    </row>
    <row r="17" spans="1:2" ht="17.25" x14ac:dyDescent="0.3">
      <c r="A17" s="124" t="s">
        <v>250</v>
      </c>
      <c r="B17" s="195">
        <f>H10/H12</f>
        <v>1</v>
      </c>
    </row>
    <row r="18" spans="1:2" ht="17.25" x14ac:dyDescent="0.3">
      <c r="A18" s="124" t="s">
        <v>251</v>
      </c>
      <c r="B18" s="195">
        <f>(G8+H10)/SUM(G8:H11)</f>
        <v>0.75</v>
      </c>
    </row>
    <row r="20" spans="1:2" ht="17.25" x14ac:dyDescent="0.3">
      <c r="A20" s="124" t="s">
        <v>252</v>
      </c>
      <c r="B20" s="195">
        <f>G8/G12</f>
        <v>0.6</v>
      </c>
    </row>
    <row r="21" spans="1:2" ht="17.25" x14ac:dyDescent="0.3">
      <c r="A21" s="124" t="s">
        <v>253</v>
      </c>
      <c r="B21" s="195">
        <f>H8/H12</f>
        <v>0</v>
      </c>
    </row>
  </sheetData>
  <mergeCells count="15">
    <mergeCell ref="K8:K9"/>
    <mergeCell ref="L8:L9"/>
    <mergeCell ref="K10:K11"/>
    <mergeCell ref="L10:L11"/>
    <mergeCell ref="G10:G11"/>
    <mergeCell ref="H10:H11"/>
    <mergeCell ref="F10:F11"/>
    <mergeCell ref="E8:E11"/>
    <mergeCell ref="I8:I9"/>
    <mergeCell ref="I10:I11"/>
    <mergeCell ref="H8:H9"/>
    <mergeCell ref="F8:F9"/>
    <mergeCell ref="A2:U3"/>
    <mergeCell ref="F5:H5"/>
    <mergeCell ref="G8:G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R82"/>
  <sheetViews>
    <sheetView zoomScale="69" zoomScaleNormal="69" workbookViewId="0">
      <selection sqref="A1:XFD1"/>
    </sheetView>
  </sheetViews>
  <sheetFormatPr baseColWidth="10" defaultRowHeight="16.5" x14ac:dyDescent="0.3"/>
  <cols>
    <col min="1" max="1" width="4.875" style="74" customWidth="1"/>
    <col min="2" max="2" width="10" style="74" customWidth="1"/>
    <col min="3" max="3" width="12.25" style="74" customWidth="1"/>
    <col min="4" max="4" width="12.375" style="74" customWidth="1"/>
    <col min="5" max="5" width="10.75" style="74" customWidth="1"/>
    <col min="6" max="6" width="8.875" style="74" customWidth="1"/>
    <col min="7" max="7" width="8.375" style="74" customWidth="1"/>
    <col min="8" max="8" width="7.5" style="74" customWidth="1"/>
    <col min="9" max="16384" width="11" style="74"/>
  </cols>
  <sheetData>
    <row r="1" spans="1:13" s="24" customFormat="1" ht="18" x14ac:dyDescent="0.25">
      <c r="A1" s="24" t="s">
        <v>92</v>
      </c>
    </row>
    <row r="2" spans="1:13" customFormat="1" x14ac:dyDescent="0.3"/>
    <row r="3" spans="1:13" customFormat="1" x14ac:dyDescent="0.3">
      <c r="B3" t="s">
        <v>0</v>
      </c>
    </row>
    <row r="4" spans="1:13" customFormat="1" x14ac:dyDescent="0.3"/>
    <row r="5" spans="1:13" customFormat="1" x14ac:dyDescent="0.3">
      <c r="B5" s="28" t="s">
        <v>1</v>
      </c>
      <c r="C5" s="29" t="s">
        <v>2</v>
      </c>
      <c r="D5" s="29" t="s">
        <v>3</v>
      </c>
      <c r="E5" s="29" t="s">
        <v>4</v>
      </c>
      <c r="F5" s="29" t="s">
        <v>5</v>
      </c>
      <c r="I5" s="28" t="s">
        <v>1</v>
      </c>
      <c r="J5" s="29" t="s">
        <v>2</v>
      </c>
      <c r="K5" s="29" t="s">
        <v>3</v>
      </c>
      <c r="L5" s="29" t="s">
        <v>4</v>
      </c>
      <c r="M5" s="29" t="s">
        <v>5</v>
      </c>
    </row>
    <row r="6" spans="1:13" customFormat="1" x14ac:dyDescent="0.3">
      <c r="B6" s="26" t="s">
        <v>6</v>
      </c>
      <c r="C6" s="1">
        <v>85</v>
      </c>
      <c r="D6" s="1">
        <v>85</v>
      </c>
      <c r="E6" s="1" t="s">
        <v>9</v>
      </c>
      <c r="F6" s="1" t="s">
        <v>11</v>
      </c>
      <c r="I6" s="26" t="s">
        <v>6</v>
      </c>
      <c r="J6" s="1" t="s">
        <v>13</v>
      </c>
      <c r="K6" s="1" t="s">
        <v>13</v>
      </c>
      <c r="L6" s="1" t="s">
        <v>9</v>
      </c>
      <c r="M6" s="1" t="s">
        <v>11</v>
      </c>
    </row>
    <row r="7" spans="1:13" customFormat="1" x14ac:dyDescent="0.3">
      <c r="B7" s="26" t="s">
        <v>6</v>
      </c>
      <c r="C7" s="1">
        <v>80</v>
      </c>
      <c r="D7" s="1">
        <v>90</v>
      </c>
      <c r="E7" s="1" t="s">
        <v>10</v>
      </c>
      <c r="F7" s="1" t="s">
        <v>11</v>
      </c>
      <c r="I7" s="26" t="s">
        <v>6</v>
      </c>
      <c r="J7" s="1" t="s">
        <v>13</v>
      </c>
      <c r="K7" s="1" t="s">
        <v>13</v>
      </c>
      <c r="L7" s="1" t="s">
        <v>10</v>
      </c>
      <c r="M7" s="1" t="s">
        <v>11</v>
      </c>
    </row>
    <row r="8" spans="1:13" customFormat="1" x14ac:dyDescent="0.3">
      <c r="B8" s="26" t="s">
        <v>7</v>
      </c>
      <c r="C8" s="1">
        <v>83</v>
      </c>
      <c r="D8" s="1">
        <v>78</v>
      </c>
      <c r="E8" s="1" t="s">
        <v>9</v>
      </c>
      <c r="F8" s="1" t="s">
        <v>12</v>
      </c>
      <c r="I8" s="26" t="s">
        <v>7</v>
      </c>
      <c r="J8" s="1" t="s">
        <v>13</v>
      </c>
      <c r="K8" s="1" t="s">
        <v>16</v>
      </c>
      <c r="L8" s="1" t="s">
        <v>9</v>
      </c>
      <c r="M8" s="1" t="s">
        <v>12</v>
      </c>
    </row>
    <row r="9" spans="1:13" customFormat="1" x14ac:dyDescent="0.3">
      <c r="B9" s="26" t="s">
        <v>8</v>
      </c>
      <c r="C9" s="1">
        <v>70</v>
      </c>
      <c r="D9" s="1">
        <v>96</v>
      </c>
      <c r="E9" s="1" t="s">
        <v>9</v>
      </c>
      <c r="F9" s="1" t="s">
        <v>12</v>
      </c>
      <c r="I9" s="26" t="s">
        <v>8</v>
      </c>
      <c r="J9" s="1" t="s">
        <v>14</v>
      </c>
      <c r="K9" s="1" t="s">
        <v>13</v>
      </c>
      <c r="L9" s="1" t="s">
        <v>9</v>
      </c>
      <c r="M9" s="1" t="s">
        <v>12</v>
      </c>
    </row>
    <row r="10" spans="1:13" customFormat="1" x14ac:dyDescent="0.3">
      <c r="B10" s="26" t="s">
        <v>8</v>
      </c>
      <c r="C10" s="1">
        <v>68</v>
      </c>
      <c r="D10" s="1">
        <v>80</v>
      </c>
      <c r="E10" s="1" t="s">
        <v>9</v>
      </c>
      <c r="F10" s="1" t="s">
        <v>12</v>
      </c>
      <c r="I10" s="26" t="s">
        <v>8</v>
      </c>
      <c r="J10" s="1" t="s">
        <v>15</v>
      </c>
      <c r="K10" s="1" t="s">
        <v>13</v>
      </c>
      <c r="L10" s="1" t="s">
        <v>9</v>
      </c>
      <c r="M10" s="1" t="s">
        <v>12</v>
      </c>
    </row>
    <row r="11" spans="1:13" customFormat="1" x14ac:dyDescent="0.3">
      <c r="B11" s="26" t="s">
        <v>8</v>
      </c>
      <c r="C11" s="1">
        <v>65</v>
      </c>
      <c r="D11" s="1">
        <v>70</v>
      </c>
      <c r="E11" s="1" t="s">
        <v>10</v>
      </c>
      <c r="F11" s="1" t="s">
        <v>11</v>
      </c>
      <c r="I11" s="26" t="s">
        <v>8</v>
      </c>
      <c r="J11" s="1" t="s">
        <v>15</v>
      </c>
      <c r="K11" s="1" t="s">
        <v>16</v>
      </c>
      <c r="L11" s="1" t="s">
        <v>10</v>
      </c>
      <c r="M11" s="1" t="s">
        <v>11</v>
      </c>
    </row>
    <row r="12" spans="1:13" customFormat="1" x14ac:dyDescent="0.3">
      <c r="B12" s="26" t="s">
        <v>7</v>
      </c>
      <c r="C12" s="1">
        <v>64</v>
      </c>
      <c r="D12" s="1">
        <v>65</v>
      </c>
      <c r="E12" s="1" t="s">
        <v>10</v>
      </c>
      <c r="F12" s="1" t="s">
        <v>12</v>
      </c>
      <c r="I12" s="26" t="s">
        <v>7</v>
      </c>
      <c r="J12" s="1" t="s">
        <v>15</v>
      </c>
      <c r="K12" s="1" t="s">
        <v>16</v>
      </c>
      <c r="L12" s="1" t="s">
        <v>10</v>
      </c>
      <c r="M12" s="1" t="s">
        <v>12</v>
      </c>
    </row>
    <row r="13" spans="1:13" customFormat="1" x14ac:dyDescent="0.3">
      <c r="B13" s="26" t="s">
        <v>6</v>
      </c>
      <c r="C13" s="1">
        <v>72</v>
      </c>
      <c r="D13" s="1">
        <v>95</v>
      </c>
      <c r="E13" s="1" t="s">
        <v>9</v>
      </c>
      <c r="F13" s="1" t="s">
        <v>11</v>
      </c>
      <c r="I13" s="26" t="s">
        <v>6</v>
      </c>
      <c r="J13" s="1" t="s">
        <v>14</v>
      </c>
      <c r="K13" s="1" t="s">
        <v>13</v>
      </c>
      <c r="L13" s="1" t="s">
        <v>9</v>
      </c>
      <c r="M13" s="1" t="s">
        <v>11</v>
      </c>
    </row>
    <row r="14" spans="1:13" customFormat="1" x14ac:dyDescent="0.3">
      <c r="B14" s="26" t="s">
        <v>6</v>
      </c>
      <c r="C14" s="1">
        <v>69</v>
      </c>
      <c r="D14" s="1">
        <v>70</v>
      </c>
      <c r="E14" s="1" t="s">
        <v>9</v>
      </c>
      <c r="F14" s="1" t="s">
        <v>12</v>
      </c>
      <c r="I14" s="26" t="s">
        <v>6</v>
      </c>
      <c r="J14" s="1" t="s">
        <v>15</v>
      </c>
      <c r="K14" s="1" t="s">
        <v>16</v>
      </c>
      <c r="L14" s="1" t="s">
        <v>9</v>
      </c>
      <c r="M14" s="1" t="s">
        <v>12</v>
      </c>
    </row>
    <row r="15" spans="1:13" customFormat="1" x14ac:dyDescent="0.3">
      <c r="B15" s="26" t="s">
        <v>8</v>
      </c>
      <c r="C15" s="1">
        <v>75</v>
      </c>
      <c r="D15" s="1">
        <v>80</v>
      </c>
      <c r="E15" s="1" t="s">
        <v>9</v>
      </c>
      <c r="F15" s="1" t="s">
        <v>12</v>
      </c>
      <c r="I15" s="26" t="s">
        <v>8</v>
      </c>
      <c r="J15" s="1" t="s">
        <v>14</v>
      </c>
      <c r="K15" s="1" t="s">
        <v>13</v>
      </c>
      <c r="L15" s="1" t="s">
        <v>9</v>
      </c>
      <c r="M15" s="1" t="s">
        <v>12</v>
      </c>
    </row>
    <row r="16" spans="1:13" customFormat="1" x14ac:dyDescent="0.3">
      <c r="B16" s="26" t="s">
        <v>6</v>
      </c>
      <c r="C16" s="1">
        <v>75</v>
      </c>
      <c r="D16" s="1">
        <v>70</v>
      </c>
      <c r="E16" s="1" t="s">
        <v>10</v>
      </c>
      <c r="F16" s="1" t="s">
        <v>12</v>
      </c>
      <c r="I16" s="26" t="s">
        <v>6</v>
      </c>
      <c r="J16" s="1" t="s">
        <v>14</v>
      </c>
      <c r="K16" s="1" t="s">
        <v>16</v>
      </c>
      <c r="L16" s="1" t="s">
        <v>10</v>
      </c>
      <c r="M16" s="1" t="s">
        <v>12</v>
      </c>
    </row>
    <row r="17" spans="1:18" customFormat="1" x14ac:dyDescent="0.3">
      <c r="B17" s="26" t="s">
        <v>7</v>
      </c>
      <c r="C17" s="1">
        <v>72</v>
      </c>
      <c r="D17" s="1">
        <v>90</v>
      </c>
      <c r="E17" s="1" t="s">
        <v>10</v>
      </c>
      <c r="F17" s="1" t="s">
        <v>12</v>
      </c>
      <c r="I17" s="26" t="s">
        <v>7</v>
      </c>
      <c r="J17" s="1" t="s">
        <v>14</v>
      </c>
      <c r="K17" s="1" t="s">
        <v>13</v>
      </c>
      <c r="L17" s="1" t="s">
        <v>10</v>
      </c>
      <c r="M17" s="1" t="s">
        <v>12</v>
      </c>
    </row>
    <row r="18" spans="1:18" customFormat="1" x14ac:dyDescent="0.3">
      <c r="B18" s="26" t="s">
        <v>7</v>
      </c>
      <c r="C18" s="1">
        <v>81</v>
      </c>
      <c r="D18" s="1">
        <v>75</v>
      </c>
      <c r="E18" s="1" t="s">
        <v>9</v>
      </c>
      <c r="F18" s="1" t="s">
        <v>12</v>
      </c>
      <c r="I18" s="26" t="s">
        <v>7</v>
      </c>
      <c r="J18" s="1" t="s">
        <v>13</v>
      </c>
      <c r="K18" s="1" t="s">
        <v>16</v>
      </c>
      <c r="L18" s="1" t="s">
        <v>9</v>
      </c>
      <c r="M18" s="1" t="s">
        <v>12</v>
      </c>
    </row>
    <row r="19" spans="1:18" customFormat="1" x14ac:dyDescent="0.3">
      <c r="B19" s="26" t="s">
        <v>8</v>
      </c>
      <c r="C19" s="1">
        <v>71</v>
      </c>
      <c r="D19" s="1">
        <v>80</v>
      </c>
      <c r="E19" s="1" t="s">
        <v>10</v>
      </c>
      <c r="F19" s="1" t="s">
        <v>11</v>
      </c>
      <c r="I19" s="26" t="s">
        <v>8</v>
      </c>
      <c r="J19" s="1" t="s">
        <v>15</v>
      </c>
      <c r="K19" s="1" t="s">
        <v>13</v>
      </c>
      <c r="L19" s="1" t="s">
        <v>10</v>
      </c>
      <c r="M19" s="1" t="s">
        <v>11</v>
      </c>
    </row>
    <row r="20" spans="1:18" customFormat="1" x14ac:dyDescent="0.3">
      <c r="C20" s="1"/>
      <c r="D20" s="1"/>
      <c r="E20" s="1"/>
      <c r="F20" s="1"/>
      <c r="J20" s="1"/>
      <c r="K20" s="1"/>
      <c r="L20" s="1"/>
      <c r="M20" s="1"/>
    </row>
    <row r="21" spans="1:18" s="31" customFormat="1" ht="15" x14ac:dyDescent="0.2">
      <c r="A21" s="31" t="s">
        <v>71</v>
      </c>
      <c r="C21" s="32"/>
      <c r="D21" s="32"/>
      <c r="E21" s="32"/>
      <c r="F21" s="32"/>
      <c r="J21" s="32"/>
      <c r="K21" s="32"/>
      <c r="L21" s="32"/>
      <c r="M21" s="32"/>
    </row>
    <row r="22" spans="1:18" s="33" customFormat="1" ht="14.25" x14ac:dyDescent="0.2">
      <c r="A22" s="33" t="s">
        <v>72</v>
      </c>
      <c r="C22" s="34"/>
      <c r="D22" s="34"/>
      <c r="E22" s="34"/>
      <c r="F22" s="34"/>
      <c r="J22" s="34"/>
      <c r="K22" s="34"/>
      <c r="L22" s="34"/>
      <c r="M22" s="34"/>
    </row>
    <row r="23" spans="1:18" customFormat="1" x14ac:dyDescent="0.3">
      <c r="A23" s="132" t="s">
        <v>73</v>
      </c>
      <c r="B23" s="132"/>
      <c r="C23" s="132"/>
      <c r="D23" s="132"/>
      <c r="E23" s="132"/>
      <c r="F23" s="132"/>
      <c r="G23" s="132"/>
      <c r="H23" s="132"/>
      <c r="I23" s="132"/>
      <c r="J23" s="132"/>
      <c r="K23" s="132"/>
      <c r="L23" s="132"/>
      <c r="M23" s="132"/>
      <c r="N23" s="132"/>
    </row>
    <row r="24" spans="1:18" customFormat="1" x14ac:dyDescent="0.3">
      <c r="A24" s="132"/>
      <c r="B24" s="132"/>
      <c r="C24" s="132"/>
      <c r="D24" s="132"/>
      <c r="E24" s="132"/>
      <c r="F24" s="132"/>
      <c r="G24" s="132"/>
      <c r="H24" s="132"/>
      <c r="I24" s="132"/>
      <c r="J24" s="132"/>
      <c r="K24" s="132"/>
      <c r="L24" s="132"/>
      <c r="M24" s="132"/>
      <c r="N24" s="132"/>
    </row>
    <row r="25" spans="1:18" customFormat="1" x14ac:dyDescent="0.3">
      <c r="A25" s="132"/>
      <c r="B25" s="132"/>
      <c r="C25" s="132"/>
      <c r="D25" s="132"/>
      <c r="E25" s="132"/>
      <c r="F25" s="132"/>
      <c r="G25" s="132"/>
      <c r="H25" s="132"/>
      <c r="I25" s="132"/>
      <c r="J25" s="132"/>
      <c r="K25" s="132"/>
      <c r="L25" s="132"/>
      <c r="M25" s="132"/>
      <c r="N25" s="132"/>
    </row>
    <row r="26" spans="1:18" customFormat="1" x14ac:dyDescent="0.3">
      <c r="C26" s="1"/>
      <c r="D26" s="1"/>
      <c r="E26" s="1"/>
      <c r="F26" s="1"/>
      <c r="J26" s="1"/>
      <c r="K26" s="1"/>
      <c r="L26" s="1"/>
      <c r="M26" s="1"/>
    </row>
    <row r="27" spans="1:18" s="33" customFormat="1" ht="14.25" x14ac:dyDescent="0.2">
      <c r="A27" s="33" t="s">
        <v>75</v>
      </c>
      <c r="C27" s="34"/>
      <c r="D27" s="34"/>
      <c r="E27" s="34"/>
      <c r="F27" s="34"/>
      <c r="J27" s="34"/>
      <c r="K27" s="34"/>
      <c r="L27" s="34"/>
      <c r="M27" s="34"/>
    </row>
    <row r="28" spans="1:18" customFormat="1" x14ac:dyDescent="0.3">
      <c r="A28" s="132" t="s">
        <v>74</v>
      </c>
      <c r="B28" s="132"/>
      <c r="C28" s="132"/>
      <c r="D28" s="132"/>
      <c r="E28" s="132"/>
      <c r="F28" s="132"/>
      <c r="G28" s="132"/>
      <c r="H28" s="132"/>
      <c r="I28" s="132"/>
      <c r="J28" s="132"/>
      <c r="K28" s="132"/>
      <c r="L28" s="132"/>
      <c r="M28" s="132"/>
      <c r="N28" s="132"/>
    </row>
    <row r="29" spans="1:18" customFormat="1" x14ac:dyDescent="0.3">
      <c r="A29" s="132"/>
      <c r="B29" s="132"/>
      <c r="C29" s="132"/>
      <c r="D29" s="132"/>
      <c r="E29" s="132"/>
      <c r="F29" s="132"/>
      <c r="G29" s="132"/>
      <c r="H29" s="132"/>
      <c r="I29" s="132"/>
      <c r="J29" s="132"/>
      <c r="K29" s="132"/>
      <c r="L29" s="132"/>
      <c r="M29" s="132"/>
      <c r="N29" s="132"/>
    </row>
    <row r="30" spans="1:18" customFormat="1" ht="17.25" thickBot="1" x14ac:dyDescent="0.35">
      <c r="J30" s="1"/>
      <c r="K30" s="1"/>
      <c r="L30" s="1"/>
      <c r="M30" s="1"/>
    </row>
    <row r="31" spans="1:18" x14ac:dyDescent="0.3">
      <c r="A31" s="133" t="s">
        <v>181</v>
      </c>
      <c r="B31" s="134"/>
      <c r="C31" s="134"/>
      <c r="D31" s="134"/>
      <c r="E31" s="134"/>
      <c r="F31" s="134"/>
      <c r="G31" s="134"/>
      <c r="H31" s="134"/>
      <c r="I31" s="134"/>
      <c r="J31" s="134"/>
      <c r="K31" s="134"/>
      <c r="L31" s="134"/>
      <c r="M31" s="134"/>
      <c r="N31" s="134"/>
      <c r="O31" s="134"/>
      <c r="P31" s="134"/>
      <c r="Q31" s="134"/>
      <c r="R31" s="135"/>
    </row>
    <row r="32" spans="1:18" x14ac:dyDescent="0.3">
      <c r="A32" s="136"/>
      <c r="B32" s="137"/>
      <c r="C32" s="137"/>
      <c r="D32" s="137"/>
      <c r="E32" s="137"/>
      <c r="F32" s="137"/>
      <c r="G32" s="137"/>
      <c r="H32" s="137"/>
      <c r="I32" s="137"/>
      <c r="J32" s="137"/>
      <c r="K32" s="137"/>
      <c r="L32" s="137"/>
      <c r="M32" s="137"/>
      <c r="N32" s="137"/>
      <c r="O32" s="137"/>
      <c r="P32" s="137"/>
      <c r="Q32" s="137"/>
      <c r="R32" s="138"/>
    </row>
    <row r="33" spans="1:18" ht="17.25" thickBot="1" x14ac:dyDescent="0.35">
      <c r="A33" s="139"/>
      <c r="B33" s="140"/>
      <c r="C33" s="140"/>
      <c r="D33" s="140"/>
      <c r="E33" s="140"/>
      <c r="F33" s="140"/>
      <c r="G33" s="140"/>
      <c r="H33" s="140"/>
      <c r="I33" s="140"/>
      <c r="J33" s="140"/>
      <c r="K33" s="140"/>
      <c r="L33" s="140"/>
      <c r="M33" s="140"/>
      <c r="N33" s="140"/>
      <c r="O33" s="140"/>
      <c r="P33" s="140"/>
      <c r="Q33" s="140"/>
      <c r="R33" s="141"/>
    </row>
    <row r="34" spans="1:18" ht="17.25" x14ac:dyDescent="0.3">
      <c r="E34" s="102"/>
      <c r="G34" s="103"/>
      <c r="H34" s="104"/>
      <c r="L34" s="104"/>
    </row>
    <row r="35" spans="1:18" ht="17.25" x14ac:dyDescent="0.3">
      <c r="E35" s="102"/>
      <c r="G35" s="103"/>
      <c r="H35" s="104"/>
      <c r="L35" s="104"/>
    </row>
    <row r="36" spans="1:18" ht="17.25" x14ac:dyDescent="0.3">
      <c r="G36" s="103"/>
      <c r="H36" s="104"/>
      <c r="L36" s="104"/>
    </row>
    <row r="37" spans="1:18" ht="17.25" x14ac:dyDescent="0.3">
      <c r="G37" s="103"/>
      <c r="H37" s="104"/>
      <c r="L37" s="104"/>
    </row>
    <row r="38" spans="1:18" ht="17.25" x14ac:dyDescent="0.3">
      <c r="G38" s="103"/>
      <c r="H38" s="104"/>
      <c r="L38" s="104"/>
    </row>
    <row r="39" spans="1:18" ht="17.25" x14ac:dyDescent="0.3">
      <c r="G39" s="103"/>
      <c r="H39" s="104"/>
      <c r="L39" s="104"/>
    </row>
    <row r="40" spans="1:18" ht="17.25" x14ac:dyDescent="0.3">
      <c r="G40" s="103"/>
      <c r="H40" s="104"/>
      <c r="L40" s="104"/>
    </row>
    <row r="41" spans="1:18" ht="17.25" x14ac:dyDescent="0.3">
      <c r="G41" s="103"/>
      <c r="H41" s="104"/>
      <c r="L41" s="104"/>
    </row>
    <row r="42" spans="1:18" ht="17.25" x14ac:dyDescent="0.3">
      <c r="G42" s="103"/>
      <c r="H42" s="104"/>
      <c r="L42" s="104"/>
    </row>
    <row r="43" spans="1:18" ht="17.25" x14ac:dyDescent="0.3">
      <c r="G43" s="103"/>
      <c r="H43" s="104"/>
      <c r="L43" s="104"/>
    </row>
    <row r="44" spans="1:18" ht="17.25" x14ac:dyDescent="0.3">
      <c r="G44" s="103"/>
      <c r="H44" s="104"/>
      <c r="L44" s="104"/>
    </row>
    <row r="45" spans="1:18" ht="17.25" x14ac:dyDescent="0.3">
      <c r="G45" s="103"/>
      <c r="H45" s="104"/>
      <c r="L45" s="104"/>
    </row>
    <row r="46" spans="1:18" ht="17.25" x14ac:dyDescent="0.3">
      <c r="G46" s="103"/>
      <c r="H46" s="104"/>
      <c r="L46" s="104"/>
    </row>
    <row r="47" spans="1:18" ht="17.25" x14ac:dyDescent="0.3">
      <c r="G47" s="103"/>
      <c r="H47" s="104"/>
      <c r="L47" s="104"/>
    </row>
    <row r="48" spans="1:18" ht="17.25" x14ac:dyDescent="0.3">
      <c r="G48" s="103"/>
      <c r="H48" s="104"/>
      <c r="L48" s="104"/>
    </row>
    <row r="49" spans="7:12" ht="17.25" x14ac:dyDescent="0.3">
      <c r="G49" s="103"/>
      <c r="H49" s="104"/>
      <c r="L49" s="104"/>
    </row>
    <row r="50" spans="7:12" ht="17.25" x14ac:dyDescent="0.3">
      <c r="G50" s="103"/>
      <c r="H50" s="104"/>
      <c r="L50" s="104"/>
    </row>
    <row r="51" spans="7:12" ht="17.25" x14ac:dyDescent="0.3">
      <c r="G51" s="103"/>
      <c r="H51" s="104"/>
      <c r="L51" s="104"/>
    </row>
    <row r="52" spans="7:12" ht="17.25" x14ac:dyDescent="0.3">
      <c r="G52" s="103"/>
      <c r="H52" s="104"/>
      <c r="L52" s="104"/>
    </row>
    <row r="53" spans="7:12" ht="17.25" x14ac:dyDescent="0.3">
      <c r="G53" s="103"/>
      <c r="H53" s="104"/>
      <c r="L53" s="104"/>
    </row>
    <row r="54" spans="7:12" ht="17.25" x14ac:dyDescent="0.3">
      <c r="G54" s="103"/>
      <c r="H54" s="104"/>
      <c r="L54" s="104"/>
    </row>
    <row r="55" spans="7:12" ht="17.25" x14ac:dyDescent="0.3">
      <c r="G55" s="103"/>
      <c r="H55" s="104"/>
      <c r="L55" s="104"/>
    </row>
    <row r="56" spans="7:12" ht="17.25" x14ac:dyDescent="0.3">
      <c r="G56" s="103"/>
      <c r="H56" s="104"/>
      <c r="L56" s="104"/>
    </row>
    <row r="57" spans="7:12" ht="17.25" x14ac:dyDescent="0.3">
      <c r="G57" s="103"/>
      <c r="H57" s="104"/>
      <c r="L57" s="104"/>
    </row>
    <row r="58" spans="7:12" ht="17.25" x14ac:dyDescent="0.3">
      <c r="G58" s="103"/>
      <c r="H58" s="104"/>
      <c r="L58" s="104"/>
    </row>
    <row r="59" spans="7:12" ht="17.25" x14ac:dyDescent="0.3">
      <c r="G59" s="103"/>
      <c r="H59" s="104"/>
      <c r="L59" s="104"/>
    </row>
    <row r="60" spans="7:12" ht="17.25" x14ac:dyDescent="0.3">
      <c r="G60" s="103"/>
      <c r="H60" s="104"/>
      <c r="L60" s="104"/>
    </row>
    <row r="61" spans="7:12" ht="17.25" x14ac:dyDescent="0.3">
      <c r="G61" s="103"/>
      <c r="H61" s="104"/>
      <c r="L61" s="104"/>
    </row>
    <row r="62" spans="7:12" ht="17.25" x14ac:dyDescent="0.3">
      <c r="G62" s="103"/>
      <c r="H62" s="104"/>
      <c r="L62" s="104"/>
    </row>
    <row r="63" spans="7:12" ht="17.25" x14ac:dyDescent="0.3">
      <c r="G63" s="103"/>
      <c r="H63" s="104"/>
      <c r="L63" s="104"/>
    </row>
    <row r="64" spans="7:12" ht="17.25" x14ac:dyDescent="0.3">
      <c r="G64" s="103"/>
      <c r="H64" s="104"/>
      <c r="L64" s="104"/>
    </row>
    <row r="65" spans="7:12" ht="17.25" x14ac:dyDescent="0.3">
      <c r="G65" s="103"/>
      <c r="H65" s="104"/>
      <c r="L65" s="104"/>
    </row>
    <row r="66" spans="7:12" ht="17.25" x14ac:dyDescent="0.3">
      <c r="G66" s="103"/>
      <c r="H66" s="104"/>
      <c r="L66" s="104"/>
    </row>
    <row r="67" spans="7:12" ht="17.25" x14ac:dyDescent="0.3">
      <c r="G67" s="103"/>
      <c r="H67" s="104"/>
      <c r="L67" s="104"/>
    </row>
    <row r="68" spans="7:12" ht="17.25" x14ac:dyDescent="0.3">
      <c r="G68" s="103"/>
      <c r="H68" s="104"/>
      <c r="L68" s="104"/>
    </row>
    <row r="69" spans="7:12" ht="17.25" x14ac:dyDescent="0.3">
      <c r="G69" s="103"/>
      <c r="H69" s="104"/>
      <c r="L69" s="104"/>
    </row>
    <row r="70" spans="7:12" ht="17.25" x14ac:dyDescent="0.3">
      <c r="G70" s="103"/>
      <c r="H70" s="104"/>
      <c r="L70" s="104"/>
    </row>
    <row r="71" spans="7:12" ht="17.25" x14ac:dyDescent="0.3">
      <c r="G71" s="103"/>
      <c r="H71" s="104"/>
      <c r="L71" s="104"/>
    </row>
    <row r="72" spans="7:12" ht="17.25" x14ac:dyDescent="0.3">
      <c r="G72" s="103"/>
      <c r="H72" s="104"/>
      <c r="L72" s="104"/>
    </row>
    <row r="73" spans="7:12" ht="17.25" x14ac:dyDescent="0.3">
      <c r="G73" s="103"/>
      <c r="H73" s="104"/>
      <c r="L73" s="104"/>
    </row>
    <row r="74" spans="7:12" ht="17.25" x14ac:dyDescent="0.3">
      <c r="G74" s="103"/>
      <c r="H74" s="104"/>
      <c r="L74" s="104"/>
    </row>
    <row r="75" spans="7:12" ht="17.25" x14ac:dyDescent="0.3">
      <c r="G75" s="103"/>
      <c r="H75" s="104"/>
      <c r="L75" s="104"/>
    </row>
    <row r="76" spans="7:12" ht="17.25" x14ac:dyDescent="0.3">
      <c r="G76" s="103"/>
      <c r="H76" s="104"/>
      <c r="L76" s="104"/>
    </row>
    <row r="77" spans="7:12" ht="17.25" x14ac:dyDescent="0.3">
      <c r="G77" s="103"/>
      <c r="H77" s="104"/>
      <c r="L77" s="104"/>
    </row>
    <row r="78" spans="7:12" ht="17.25" x14ac:dyDescent="0.3">
      <c r="G78" s="103"/>
      <c r="H78" s="104"/>
      <c r="L78" s="104"/>
    </row>
    <row r="79" spans="7:12" ht="17.25" x14ac:dyDescent="0.3">
      <c r="G79" s="103"/>
      <c r="H79" s="104"/>
      <c r="L79" s="104"/>
    </row>
    <row r="80" spans="7:12" ht="17.25" x14ac:dyDescent="0.3">
      <c r="G80" s="103"/>
      <c r="H80" s="104"/>
      <c r="L80" s="104"/>
    </row>
    <row r="81" spans="7:12" ht="17.25" x14ac:dyDescent="0.3">
      <c r="G81" s="103"/>
      <c r="H81" s="104"/>
      <c r="L81" s="104"/>
    </row>
    <row r="82" spans="7:12" ht="17.25" x14ac:dyDescent="0.3">
      <c r="G82" s="103"/>
      <c r="H82" s="104"/>
      <c r="L82" s="104"/>
    </row>
  </sheetData>
  <mergeCells count="3">
    <mergeCell ref="A23:N25"/>
    <mergeCell ref="A28:N29"/>
    <mergeCell ref="A31:R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A96"/>
  <sheetViews>
    <sheetView zoomScale="60" zoomScaleNormal="60" workbookViewId="0">
      <selection activeCell="D22" sqref="D22"/>
    </sheetView>
  </sheetViews>
  <sheetFormatPr baseColWidth="10" defaultRowHeight="16.5" x14ac:dyDescent="0.3"/>
  <cols>
    <col min="8" max="8" width="2.875" customWidth="1"/>
    <col min="9" max="9" width="3.625" customWidth="1"/>
  </cols>
  <sheetData>
    <row r="1" spans="1:27" ht="17.25" thickBot="1" x14ac:dyDescent="0.35">
      <c r="A1" s="106" t="s">
        <v>1</v>
      </c>
      <c r="B1" s="106" t="s">
        <v>2</v>
      </c>
      <c r="C1" s="106" t="s">
        <v>3</v>
      </c>
      <c r="D1" s="106" t="s">
        <v>4</v>
      </c>
      <c r="E1" s="106" t="s">
        <v>5</v>
      </c>
      <c r="F1" s="142" t="s">
        <v>182</v>
      </c>
      <c r="G1" s="142"/>
      <c r="H1" s="142"/>
      <c r="I1" s="142"/>
      <c r="K1" s="142" t="s">
        <v>183</v>
      </c>
      <c r="L1" s="142"/>
      <c r="M1" s="142"/>
      <c r="N1" s="142"/>
      <c r="P1" s="142" t="s">
        <v>184</v>
      </c>
      <c r="Q1" s="142"/>
      <c r="R1" s="142"/>
      <c r="S1" s="142"/>
      <c r="T1" s="142"/>
      <c r="V1" s="142" t="s">
        <v>185</v>
      </c>
      <c r="W1" s="142"/>
      <c r="X1" s="142"/>
      <c r="Y1" s="142"/>
      <c r="Z1" s="142"/>
      <c r="AA1" s="142"/>
    </row>
    <row r="2" spans="1:27" x14ac:dyDescent="0.3">
      <c r="A2" s="107" t="s">
        <v>6</v>
      </c>
      <c r="B2" s="108" t="s">
        <v>13</v>
      </c>
      <c r="C2" s="108" t="s">
        <v>13</v>
      </c>
      <c r="D2" s="108" t="s">
        <v>9</v>
      </c>
      <c r="E2" s="109" t="s">
        <v>11</v>
      </c>
      <c r="F2" s="99"/>
      <c r="G2" s="99" t="s">
        <v>48</v>
      </c>
      <c r="H2" s="99"/>
      <c r="I2" s="99" t="s">
        <v>19</v>
      </c>
      <c r="K2" s="99"/>
      <c r="L2" s="99" t="s">
        <v>48</v>
      </c>
      <c r="M2" s="99" t="s">
        <v>15</v>
      </c>
      <c r="N2" s="99" t="s">
        <v>19</v>
      </c>
      <c r="P2" s="99"/>
      <c r="Q2" s="99" t="s">
        <v>48</v>
      </c>
      <c r="R2" s="99" t="s">
        <v>15</v>
      </c>
      <c r="S2" s="99" t="s">
        <v>16</v>
      </c>
      <c r="T2" s="99" t="s">
        <v>19</v>
      </c>
      <c r="V2" s="99"/>
      <c r="W2" s="99" t="s">
        <v>48</v>
      </c>
      <c r="X2" s="99" t="s">
        <v>15</v>
      </c>
      <c r="Y2" s="99" t="s">
        <v>16</v>
      </c>
      <c r="Z2" s="99" t="s">
        <v>9</v>
      </c>
      <c r="AA2" s="99" t="s">
        <v>19</v>
      </c>
    </row>
    <row r="3" spans="1:27" x14ac:dyDescent="0.3">
      <c r="A3" s="110" t="s">
        <v>6</v>
      </c>
      <c r="B3" s="14" t="s">
        <v>13</v>
      </c>
      <c r="C3" s="14" t="s">
        <v>13</v>
      </c>
      <c r="D3" s="14" t="s">
        <v>10</v>
      </c>
      <c r="E3" s="111" t="s">
        <v>11</v>
      </c>
      <c r="F3" s="112" t="s">
        <v>17</v>
      </c>
      <c r="G3" s="113">
        <f>(COUNTIFS($A$2:$A$15,$G2,$E$2:$E$15,$I2))/COUNTA($A$2:$A$15)</f>
        <v>0.14285714285714285</v>
      </c>
      <c r="H3" s="99"/>
      <c r="I3" s="99"/>
      <c r="K3" s="112" t="s">
        <v>17</v>
      </c>
      <c r="L3" s="113">
        <f>(COUNTIFS($A$2:$A$15,$L2,$B$2:$B$15,$M2,$E$2:$E$15,$N2))/COUNTA($A$2:$A$15)</f>
        <v>7.1428571428571425E-2</v>
      </c>
      <c r="M3" s="99"/>
      <c r="N3" s="99"/>
      <c r="P3" s="112" t="s">
        <v>17</v>
      </c>
      <c r="Q3" s="113">
        <f>(COUNTIFS($A$2:$A$15,$Q2,$B$2:$B$15,$R2,$C$2:$C$15,$S2,$E$2:$E$15,$T2))/COUNTA($A$2:$A$15)</f>
        <v>7.1428571428571425E-2</v>
      </c>
      <c r="R3" s="99"/>
      <c r="S3" s="99"/>
      <c r="T3" s="99"/>
      <c r="V3" s="112" t="s">
        <v>17</v>
      </c>
      <c r="W3" s="113">
        <f>(COUNTIFS($A$2:$A$15,$W2,$B$2:$B$15,$X2,$C$2:$C$15,$Y2,$D$2:$D$15,$Z2,$E$2:$E$15,$AA2))/COUNTA($A$2:$A$15)</f>
        <v>7.1428571428571425E-2</v>
      </c>
      <c r="X3" s="99"/>
      <c r="Y3" s="99"/>
      <c r="Z3" s="99"/>
      <c r="AA3" s="99"/>
    </row>
    <row r="4" spans="1:27" x14ac:dyDescent="0.3">
      <c r="A4" s="110" t="s">
        <v>7</v>
      </c>
      <c r="B4" s="14" t="s">
        <v>13</v>
      </c>
      <c r="C4" s="14" t="s">
        <v>16</v>
      </c>
      <c r="D4" s="14" t="s">
        <v>9</v>
      </c>
      <c r="E4" s="111" t="s">
        <v>12</v>
      </c>
      <c r="F4" s="112" t="s">
        <v>18</v>
      </c>
      <c r="G4" s="113">
        <f>(COUNTIFS($A$2:$A$15,$G2,$E$2:$E$15,$I2))/COUNTIFS($A$2:$A$15,$G2)</f>
        <v>0.4</v>
      </c>
      <c r="H4" s="99"/>
      <c r="I4" s="99"/>
      <c r="K4" s="112" t="s">
        <v>18</v>
      </c>
      <c r="L4" s="113">
        <f>(COUNTIFS($A$2:$A$15,$L2,$B$2:$B$15,$M2,$E$2:$E$15,$N2))/COUNTIFS($A$2:$A$15,$L2,$B$2:$B$15,$M2)</f>
        <v>1</v>
      </c>
      <c r="M4" s="99"/>
      <c r="N4" s="99"/>
      <c r="P4" s="112" t="s">
        <v>18</v>
      </c>
      <c r="Q4" s="113">
        <f>(COUNTIFS($A$2:$A$15,$Q2,$B$2:$B$15,$R2,$C$2:$C$15,$S2,$E$2:$E$15,$T2))/COUNTIFS($A$2:$A$15,$Q2,$B$2:$B$15,$R2,$C$2:$C$15,$S2)</f>
        <v>1</v>
      </c>
      <c r="R4" s="99"/>
      <c r="S4" s="99"/>
      <c r="T4" s="99"/>
      <c r="V4" s="112" t="s">
        <v>18</v>
      </c>
      <c r="W4" s="113">
        <f>(COUNTIFS($A$2:$A$15,$W2,$B$2:$B$15,$X2,$C$2:$C$15,$Y2,$D$2:$D$15,$Z2,$E$2:$E$15,$AA2))/COUNTIFS($A$2:$A$15,$W2,$B$2:$B$15,$X2,$C$2:$C$15,$Y2,$D$2:$D$15,$Z2)</f>
        <v>1</v>
      </c>
      <c r="X4" s="99"/>
      <c r="Y4" s="99"/>
      <c r="Z4" s="99"/>
      <c r="AA4" s="99"/>
    </row>
    <row r="5" spans="1:27" x14ac:dyDescent="0.3">
      <c r="A5" s="110" t="s">
        <v>8</v>
      </c>
      <c r="B5" s="22" t="s">
        <v>14</v>
      </c>
      <c r="C5" s="14" t="s">
        <v>13</v>
      </c>
      <c r="D5" s="14" t="s">
        <v>9</v>
      </c>
      <c r="E5" s="111" t="s">
        <v>12</v>
      </c>
      <c r="F5" s="99"/>
      <c r="G5" s="99"/>
      <c r="H5" s="99"/>
      <c r="I5" s="99"/>
    </row>
    <row r="6" spans="1:27" x14ac:dyDescent="0.3">
      <c r="A6" s="110" t="s">
        <v>8</v>
      </c>
      <c r="B6" s="22" t="s">
        <v>15</v>
      </c>
      <c r="C6" s="14" t="s">
        <v>13</v>
      </c>
      <c r="D6" s="14" t="s">
        <v>9</v>
      </c>
      <c r="E6" s="111" t="s">
        <v>12</v>
      </c>
      <c r="F6" s="99"/>
      <c r="G6" s="99" t="s">
        <v>48</v>
      </c>
      <c r="H6" s="99"/>
      <c r="I6" s="99" t="s">
        <v>25</v>
      </c>
      <c r="K6" s="99"/>
      <c r="L6" s="99" t="s">
        <v>48</v>
      </c>
      <c r="M6" s="99" t="s">
        <v>15</v>
      </c>
      <c r="N6" s="99" t="s">
        <v>25</v>
      </c>
      <c r="P6" s="99"/>
      <c r="Q6" s="99" t="s">
        <v>48</v>
      </c>
      <c r="R6" s="99" t="s">
        <v>14</v>
      </c>
      <c r="S6" s="99" t="s">
        <v>13</v>
      </c>
      <c r="T6" s="99" t="s">
        <v>19</v>
      </c>
      <c r="V6" s="99"/>
      <c r="W6" s="99" t="s">
        <v>48</v>
      </c>
      <c r="X6" s="99" t="s">
        <v>15</v>
      </c>
      <c r="Y6" s="99" t="s">
        <v>13</v>
      </c>
      <c r="Z6" s="99" t="s">
        <v>10</v>
      </c>
      <c r="AA6" s="99" t="s">
        <v>19</v>
      </c>
    </row>
    <row r="7" spans="1:27" x14ac:dyDescent="0.3">
      <c r="A7" s="110" t="s">
        <v>8</v>
      </c>
      <c r="B7" s="22" t="s">
        <v>15</v>
      </c>
      <c r="C7" s="14" t="s">
        <v>16</v>
      </c>
      <c r="D7" s="14" t="s">
        <v>10</v>
      </c>
      <c r="E7" s="111" t="s">
        <v>11</v>
      </c>
      <c r="F7" s="112" t="s">
        <v>17</v>
      </c>
      <c r="G7" s="113">
        <f>(COUNTIFS($A$2:$A$15,$G6,$E$2:$E$15,$I6))/COUNTA($A$2:$A$15)</f>
        <v>0.21428571428571427</v>
      </c>
      <c r="H7" s="99"/>
      <c r="I7" s="99"/>
      <c r="K7" s="112" t="s">
        <v>17</v>
      </c>
      <c r="L7" s="113">
        <f>(COUNTIFS($A$2:$A$15,$L6,$B$2:$B$15,$M6,$E$2:$E$15,$N6))/COUNTA($A$2:$A$15)</f>
        <v>0</v>
      </c>
      <c r="M7" s="99"/>
      <c r="N7" s="99"/>
      <c r="P7" s="112" t="s">
        <v>17</v>
      </c>
      <c r="Q7" s="113">
        <f>(COUNTIFS($A$2:$A$15,$Q6,$B$2:$B$15,$R6,$C$2:$C$15,$S6,$E$2:$E$15,$T6))/COUNTA($A$2:$A$15)</f>
        <v>0</v>
      </c>
      <c r="R7" s="99"/>
      <c r="S7" s="99"/>
      <c r="T7" s="99"/>
      <c r="V7" s="112" t="s">
        <v>17</v>
      </c>
      <c r="W7" s="113">
        <f>(COUNTIFS($A$2:$A$15,$W6,$B$2:$B$15,$X6,$C$2:$C$15,$Y6,$D$2:$D$15,$Z6,$E$2:$E$15,$AA6))/COUNTA($A$2:$A$15)</f>
        <v>0</v>
      </c>
      <c r="X7" s="99"/>
      <c r="Y7" s="99"/>
      <c r="Z7" s="99"/>
      <c r="AA7" s="99"/>
    </row>
    <row r="8" spans="1:27" x14ac:dyDescent="0.3">
      <c r="A8" s="110" t="s">
        <v>7</v>
      </c>
      <c r="B8" s="22" t="s">
        <v>15</v>
      </c>
      <c r="C8" s="14" t="s">
        <v>16</v>
      </c>
      <c r="D8" s="14" t="s">
        <v>10</v>
      </c>
      <c r="E8" s="111" t="s">
        <v>12</v>
      </c>
      <c r="F8" s="112" t="s">
        <v>18</v>
      </c>
      <c r="G8" s="113">
        <f>(COUNTIFS($A$2:$A$15,$G6,$E$2:$E$15,$I6))/COUNTIFS($A$2:$A$15,$G6)</f>
        <v>0.6</v>
      </c>
      <c r="H8" s="99"/>
      <c r="I8" s="99"/>
      <c r="K8" s="112" t="s">
        <v>18</v>
      </c>
      <c r="L8" s="113">
        <f>(COUNTIFS($A$2:$A$15,$L6,$B$2:$B$15,$M6,$E$2:$E$15,$N6))/COUNTIFS($A$2:$A$15,$L6,$B$2:$B$15,$M6)</f>
        <v>0</v>
      </c>
      <c r="M8" s="99"/>
      <c r="N8" s="99"/>
      <c r="P8" s="112" t="s">
        <v>18</v>
      </c>
      <c r="Q8" s="113">
        <f>(COUNTIFS($A$2:$A$15,$Q6,$B$2:$B$15,$R6,$C$2:$C$15,$S6,$E$2:$E$15,$T6))/COUNTIFS($A$2:$A$15,$Q6,$B$2:$B$15,$R6,$C$2:$C$15,$S6)</f>
        <v>0</v>
      </c>
      <c r="R8" s="99"/>
      <c r="S8" s="99"/>
      <c r="T8" s="99"/>
      <c r="V8" s="112" t="s">
        <v>18</v>
      </c>
      <c r="W8" s="113" t="e">
        <f>(COUNTIFS($A$2:$A$15,$W6,$B$2:$B$15,$X6,$C$2:$C$15,$Y6,$D$2:$D$15,$Z6,$E$2:$E$15,$AA6))/COUNTIFS($A$2:$A$15,$W6,$B$2:$B$15,$X6,$C$2:$C$15,$Y6,$D$2:$D$15,$Z6)</f>
        <v>#DIV/0!</v>
      </c>
      <c r="X8" s="99"/>
      <c r="Y8" s="99"/>
      <c r="Z8" s="99"/>
      <c r="AA8" s="99"/>
    </row>
    <row r="9" spans="1:27" x14ac:dyDescent="0.3">
      <c r="A9" s="110" t="s">
        <v>6</v>
      </c>
      <c r="B9" s="14" t="s">
        <v>14</v>
      </c>
      <c r="C9" s="14" t="s">
        <v>13</v>
      </c>
      <c r="D9" s="14" t="s">
        <v>9</v>
      </c>
      <c r="E9" s="111" t="s">
        <v>11</v>
      </c>
      <c r="F9" s="99"/>
      <c r="G9" s="99"/>
      <c r="H9" s="99"/>
      <c r="I9" s="99"/>
    </row>
    <row r="10" spans="1:27" x14ac:dyDescent="0.3">
      <c r="A10" s="110" t="s">
        <v>6</v>
      </c>
      <c r="B10" s="22" t="s">
        <v>15</v>
      </c>
      <c r="C10" s="14" t="s">
        <v>16</v>
      </c>
      <c r="D10" s="14" t="s">
        <v>9</v>
      </c>
      <c r="E10" s="111" t="s">
        <v>12</v>
      </c>
      <c r="F10" s="99"/>
      <c r="G10" s="99" t="s">
        <v>186</v>
      </c>
      <c r="H10" s="99"/>
      <c r="I10" s="99" t="s">
        <v>19</v>
      </c>
      <c r="K10" s="99"/>
      <c r="L10" s="99" t="s">
        <v>48</v>
      </c>
      <c r="M10" s="99" t="s">
        <v>14</v>
      </c>
      <c r="N10" s="99" t="s">
        <v>19</v>
      </c>
      <c r="P10" s="99"/>
      <c r="Q10" s="99" t="s">
        <v>48</v>
      </c>
      <c r="R10" s="99" t="s">
        <v>13</v>
      </c>
      <c r="S10" s="99" t="s">
        <v>13</v>
      </c>
      <c r="T10" s="99" t="s">
        <v>25</v>
      </c>
      <c r="V10" s="99"/>
      <c r="W10" s="99" t="s">
        <v>48</v>
      </c>
      <c r="X10" s="99" t="s">
        <v>14</v>
      </c>
      <c r="Y10" s="99" t="s">
        <v>16</v>
      </c>
      <c r="Z10" s="99" t="s">
        <v>187</v>
      </c>
      <c r="AA10" s="99" t="s">
        <v>19</v>
      </c>
    </row>
    <row r="11" spans="1:27" x14ac:dyDescent="0.3">
      <c r="A11" s="110" t="s">
        <v>8</v>
      </c>
      <c r="B11" s="14" t="s">
        <v>14</v>
      </c>
      <c r="C11" s="14" t="s">
        <v>13</v>
      </c>
      <c r="D11" s="14" t="s">
        <v>9</v>
      </c>
      <c r="E11" s="111" t="s">
        <v>12</v>
      </c>
      <c r="F11" s="112" t="s">
        <v>17</v>
      </c>
      <c r="G11" s="114">
        <f>(COUNTIFS($A$2:$A$15,$G10,$E$2:$E$15,$I10))/COUNTA($A$2:$A$15)</f>
        <v>0.2857142857142857</v>
      </c>
      <c r="H11" s="99"/>
      <c r="I11" s="99"/>
      <c r="K11" s="112" t="s">
        <v>17</v>
      </c>
      <c r="L11" s="113">
        <f>(COUNTIFS($A$2:$A$15,$L10,$B$2:$B$15,$M10,$E$2:$E$15,$N10))/COUNTA($A$2:$A$15)</f>
        <v>7.1428571428571425E-2</v>
      </c>
      <c r="M11" s="99"/>
      <c r="N11" s="99"/>
      <c r="P11" s="112" t="s">
        <v>17</v>
      </c>
      <c r="Q11" s="113">
        <f>(COUNTIFS($A$2:$A$15,$Q10,$B$2:$B$15,$R10,$C$2:$C$15,$S10,$E$2:$E$15,$T10))/COUNTA($A$2:$A$15)</f>
        <v>0.14285714285714285</v>
      </c>
      <c r="R11" s="99"/>
      <c r="S11" s="99"/>
      <c r="T11" s="99"/>
      <c r="V11" s="112" t="s">
        <v>17</v>
      </c>
      <c r="W11" s="113">
        <f>(COUNTIFS($A$2:$A$15,$W10,$B$2:$B$15,$X10,$C$2:$C$15,$Y10,$D$2:$D$15,$Z10,$E$2:$E$15,$AA10))/COUNTA($A$2:$A$15)</f>
        <v>7.1428571428571425E-2</v>
      </c>
      <c r="X11" s="99"/>
      <c r="Y11" s="99"/>
      <c r="Z11" s="99"/>
      <c r="AA11" s="99"/>
    </row>
    <row r="12" spans="1:27" x14ac:dyDescent="0.3">
      <c r="A12" s="110" t="s">
        <v>6</v>
      </c>
      <c r="B12" s="14" t="s">
        <v>14</v>
      </c>
      <c r="C12" s="14" t="s">
        <v>16</v>
      </c>
      <c r="D12" s="14" t="s">
        <v>10</v>
      </c>
      <c r="E12" s="111" t="s">
        <v>12</v>
      </c>
      <c r="F12" s="112" t="s">
        <v>18</v>
      </c>
      <c r="G12" s="114">
        <f>(COUNTIFS($A$2:$A$15,$G10,$E$2:$E$15,$I10))/COUNTIFS($A$2:$A$15,$G10)</f>
        <v>1</v>
      </c>
      <c r="H12" s="99"/>
      <c r="I12" s="99"/>
      <c r="K12" s="112" t="s">
        <v>18</v>
      </c>
      <c r="L12" s="113">
        <f>(COUNTIFS($A$2:$A$15,$L10,$B$2:$B$15,$M10,$E$2:$E$15,$N10))/COUNTIFS($A$2:$A$15,$L10,$B$2:$B$15,$M10)</f>
        <v>0.5</v>
      </c>
      <c r="M12" s="99"/>
      <c r="N12" s="99"/>
      <c r="P12" s="112" t="s">
        <v>18</v>
      </c>
      <c r="Q12" s="113">
        <f>(COUNTIFS($A$2:$A$15,$Q10,$B$2:$B$15,$R10,$C$2:$C$15,$S10,$E$2:$E$15,$T10))/COUNTIFS($A$2:$A$15,$Q10,$B$2:$B$15,$R10,$C$2:$C$15,$S10)</f>
        <v>1</v>
      </c>
      <c r="R12" s="99"/>
      <c r="S12" s="99"/>
      <c r="T12" s="99"/>
      <c r="V12" s="112" t="s">
        <v>18</v>
      </c>
      <c r="W12" s="113">
        <f>(COUNTIFS($A$2:$A$15,$W10,$B$2:$B$15,$X10,$C$2:$C$15,$Y10,$D$2:$D$15,$Z10,$E$2:$E$15,$AA10))/COUNTIFS($A$2:$A$15,$W10,$B$2:$B$15,$X10,$C$2:$C$15,$Y10,$D$2:$D$15,$Z10)</f>
        <v>1</v>
      </c>
      <c r="X12" s="99"/>
      <c r="Y12" s="99"/>
      <c r="Z12" s="99"/>
      <c r="AA12" s="99"/>
    </row>
    <row r="13" spans="1:27" x14ac:dyDescent="0.3">
      <c r="A13" s="110" t="s">
        <v>7</v>
      </c>
      <c r="B13" s="14" t="s">
        <v>14</v>
      </c>
      <c r="C13" s="14" t="s">
        <v>13</v>
      </c>
      <c r="D13" s="14" t="s">
        <v>10</v>
      </c>
      <c r="E13" s="111" t="s">
        <v>12</v>
      </c>
      <c r="F13" s="99"/>
      <c r="G13" s="99"/>
      <c r="H13" s="99"/>
      <c r="I13" s="99"/>
    </row>
    <row r="14" spans="1:27" x14ac:dyDescent="0.3">
      <c r="A14" s="110" t="s">
        <v>7</v>
      </c>
      <c r="B14" s="14" t="s">
        <v>13</v>
      </c>
      <c r="C14" s="14" t="s">
        <v>16</v>
      </c>
      <c r="D14" s="14" t="s">
        <v>9</v>
      </c>
      <c r="E14" s="111" t="s">
        <v>12</v>
      </c>
      <c r="F14" s="99"/>
      <c r="G14" s="99" t="s">
        <v>186</v>
      </c>
      <c r="H14" s="99"/>
      <c r="I14" s="99" t="s">
        <v>25</v>
      </c>
      <c r="K14" s="99"/>
      <c r="L14" s="99" t="s">
        <v>48</v>
      </c>
      <c r="M14" s="99" t="s">
        <v>14</v>
      </c>
      <c r="N14" s="99" t="s">
        <v>25</v>
      </c>
      <c r="P14" s="99"/>
      <c r="Q14" s="99" t="s">
        <v>48</v>
      </c>
      <c r="R14" s="99" t="s">
        <v>14</v>
      </c>
      <c r="S14" s="99" t="s">
        <v>16</v>
      </c>
      <c r="T14" s="99" t="s">
        <v>25</v>
      </c>
      <c r="V14" s="99"/>
      <c r="W14" s="99" t="s">
        <v>48</v>
      </c>
      <c r="X14" s="99" t="s">
        <v>14</v>
      </c>
      <c r="Y14" s="99" t="s">
        <v>13</v>
      </c>
      <c r="Z14" s="99" t="s">
        <v>9</v>
      </c>
      <c r="AA14" s="99" t="s">
        <v>19</v>
      </c>
    </row>
    <row r="15" spans="1:27" ht="17.25" thickBot="1" x14ac:dyDescent="0.35">
      <c r="A15" s="115" t="s">
        <v>8</v>
      </c>
      <c r="B15" s="105" t="s">
        <v>15</v>
      </c>
      <c r="C15" s="116" t="s">
        <v>13</v>
      </c>
      <c r="D15" s="116" t="s">
        <v>10</v>
      </c>
      <c r="E15" s="117" t="s">
        <v>11</v>
      </c>
      <c r="F15" s="112" t="s">
        <v>17</v>
      </c>
      <c r="G15" s="113">
        <f>(COUNTIFS($A$2:$A$15,$G14,$E$2:$E$15,$I14))/COUNTA($A$2:$A$15)</f>
        <v>0</v>
      </c>
      <c r="H15" s="99"/>
      <c r="I15" s="99"/>
      <c r="K15" s="112" t="s">
        <v>17</v>
      </c>
      <c r="L15" s="113">
        <f>(COUNTIFS($A$2:$A$15,$L14,$B$2:$B$15,$M14,$E$2:$E$15,$N14))/COUNTA($A$2:$A$15)</f>
        <v>7.1428571428571425E-2</v>
      </c>
      <c r="M15" s="99"/>
      <c r="N15" s="99"/>
      <c r="P15" s="112" t="s">
        <v>17</v>
      </c>
      <c r="Q15" s="113">
        <f>(COUNTIFS($A$2:$A$15,$Q14,$B$2:$B$15,$R14,$C$2:$C$15,$S14,$E$2:$E$15,$T14))/COUNTA($A$2:$A$15)</f>
        <v>0</v>
      </c>
      <c r="R15" s="99"/>
      <c r="S15" s="99"/>
      <c r="T15" s="99"/>
      <c r="V15" s="112" t="s">
        <v>17</v>
      </c>
      <c r="W15" s="113">
        <f>(COUNTIFS($A$2:$A$15,$W14,$B$2:$B$15,$X14,$C$2:$C$15,$Y14,$D$2:$D$15,$Z14,$E$2:$E$15,$AA14))/COUNTA($A$2:$A$15)</f>
        <v>0</v>
      </c>
      <c r="X15" s="99"/>
      <c r="Y15" s="99"/>
      <c r="Z15" s="99"/>
      <c r="AA15" s="99"/>
    </row>
    <row r="16" spans="1:27" x14ac:dyDescent="0.3">
      <c r="F16" s="112" t="s">
        <v>18</v>
      </c>
      <c r="G16" s="113">
        <f>(COUNTIFS($A$2:$A$15,$G14,$E$2:$E$15,$I14))/COUNTIFS($A$2:$A$15,$G14)</f>
        <v>0</v>
      </c>
      <c r="H16" s="99"/>
      <c r="I16" s="99"/>
      <c r="K16" s="112" t="s">
        <v>18</v>
      </c>
      <c r="L16" s="113">
        <f>(COUNTIFS($A$2:$A$15,$L14,$B$2:$B$15,$M14,$E$2:$E$15,$N14))/COUNTIFS($A$2:$A$15,$L14,$B$2:$B$15,$M14)</f>
        <v>0.5</v>
      </c>
      <c r="M16" s="99"/>
      <c r="N16" s="99"/>
      <c r="P16" s="112" t="s">
        <v>18</v>
      </c>
      <c r="Q16" s="113">
        <f>(COUNTIFS($A$2:$A$15,$Q14,$B$2:$B$15,$R14,$C$2:$C$15,$S14,$E$2:$E$15,$T14))/COUNTIFS($A$2:$A$15,$Q14,$B$2:$B$15,$R14,$C$2:$C$15,$S14)</f>
        <v>0</v>
      </c>
      <c r="R16" s="99"/>
      <c r="S16" s="99"/>
      <c r="T16" s="99"/>
      <c r="V16" s="112" t="s">
        <v>18</v>
      </c>
      <c r="W16" s="113">
        <f>(COUNTIFS($A$2:$A$15,$W14,$B$2:$B$15,$X14,$C$2:$C$15,$Y14,$D$2:$D$15,$Z14,$E$2:$E$15,$AA14))/COUNTIFS($A$2:$A$15,$W14,$B$2:$B$15,$X14,$C$2:$C$15,$Y14,$D$2:$D$15,$Z14)</f>
        <v>0</v>
      </c>
      <c r="X16" s="99"/>
      <c r="Y16" s="99"/>
      <c r="Z16" s="99"/>
      <c r="AA16" s="99"/>
    </row>
    <row r="17" spans="1:27" x14ac:dyDescent="0.3">
      <c r="A17" s="14"/>
      <c r="B17" s="14"/>
      <c r="C17" s="14"/>
      <c r="D17" s="14"/>
      <c r="F17" s="99"/>
      <c r="G17" s="99"/>
      <c r="H17" s="99"/>
      <c r="I17" s="99"/>
    </row>
    <row r="18" spans="1:27" x14ac:dyDescent="0.3">
      <c r="A18" s="14"/>
      <c r="B18" s="14"/>
      <c r="C18" s="14"/>
      <c r="D18" s="14"/>
      <c r="F18" s="99"/>
      <c r="G18" s="99" t="s">
        <v>39</v>
      </c>
      <c r="H18" s="99"/>
      <c r="I18" s="99" t="s">
        <v>19</v>
      </c>
      <c r="K18" s="99"/>
      <c r="L18" s="99" t="s">
        <v>48</v>
      </c>
      <c r="M18" s="99" t="s">
        <v>13</v>
      </c>
      <c r="N18" s="99" t="s">
        <v>19</v>
      </c>
      <c r="P18" s="99"/>
      <c r="Q18" s="99" t="s">
        <v>186</v>
      </c>
      <c r="R18" s="99" t="s">
        <v>15</v>
      </c>
      <c r="S18" s="99" t="s">
        <v>16</v>
      </c>
      <c r="T18" s="99" t="s">
        <v>19</v>
      </c>
      <c r="V18" s="99"/>
      <c r="W18" s="99" t="s">
        <v>48</v>
      </c>
      <c r="X18" s="99" t="s">
        <v>15</v>
      </c>
      <c r="Y18" s="99" t="s">
        <v>16</v>
      </c>
      <c r="Z18" s="99" t="s">
        <v>9</v>
      </c>
      <c r="AA18" s="99" t="s">
        <v>25</v>
      </c>
    </row>
    <row r="19" spans="1:27" x14ac:dyDescent="0.3">
      <c r="A19" s="14"/>
      <c r="B19" s="14"/>
      <c r="C19" s="14"/>
      <c r="D19" s="14"/>
      <c r="F19" s="112" t="s">
        <v>17</v>
      </c>
      <c r="G19" s="113">
        <f>(COUNTIFS($A$2:$A$15,$G18,$E$2:$E$15,$I18))/COUNTA($A$2:$A$15)</f>
        <v>0.21428571428571427</v>
      </c>
      <c r="H19" s="99"/>
      <c r="I19" s="99"/>
      <c r="K19" s="112" t="s">
        <v>17</v>
      </c>
      <c r="L19" s="113">
        <f>(COUNTIFS($A$2:$A$15,$L18,$B$2:$B$15,$M18,$E$2:$E$15,$N18))/COUNTA($A$2:$A$15)</f>
        <v>0</v>
      </c>
      <c r="M19" s="99"/>
      <c r="N19" s="99"/>
      <c r="P19" s="112" t="s">
        <v>17</v>
      </c>
      <c r="Q19" s="113">
        <f>(COUNTIFS($A$2:$A$15,$Q18,$B$2:$B$15,$R18,$C$2:$C$15,$S18,$E$2:$E$15,$T18))/COUNTA($A$2:$A$15)</f>
        <v>7.1428571428571425E-2</v>
      </c>
      <c r="R19" s="99"/>
      <c r="S19" s="99"/>
      <c r="T19" s="99"/>
      <c r="V19" s="112" t="s">
        <v>17</v>
      </c>
      <c r="W19" s="113">
        <f>(COUNTIFS($A$2:$A$15,$W18,$B$2:$B$15,$X18,$C$2:$C$15,$Y18,$D$2:$D$15,$Z18,$E$2:$E$15,$AA18))/COUNTA($A$2:$A$15)</f>
        <v>0</v>
      </c>
      <c r="X19" s="99"/>
      <c r="Y19" s="99"/>
      <c r="Z19" s="99"/>
      <c r="AA19" s="99"/>
    </row>
    <row r="20" spans="1:27" x14ac:dyDescent="0.3">
      <c r="A20" s="14"/>
      <c r="B20" s="14"/>
      <c r="C20" s="14"/>
      <c r="D20" s="14"/>
      <c r="F20" s="112" t="s">
        <v>18</v>
      </c>
      <c r="G20" s="113">
        <f>(COUNTIFS($A$2:$A$15,$G18,$E$2:$E$15,$I18))/COUNTIFS($A$2:$A$15,$G18)</f>
        <v>0.6</v>
      </c>
      <c r="H20" s="99"/>
      <c r="I20" s="99"/>
      <c r="K20" s="112" t="s">
        <v>18</v>
      </c>
      <c r="L20" s="113">
        <f>(COUNTIFS($A$2:$A$15,$L18,$B$2:$B$15,$M18,$E$2:$E$15,$N18))/COUNTIFS($A$2:$A$15,$L18,$B$2:$B$15,$M18)</f>
        <v>0</v>
      </c>
      <c r="M20" s="99"/>
      <c r="N20" s="99"/>
      <c r="P20" s="112" t="s">
        <v>18</v>
      </c>
      <c r="Q20" s="113">
        <f>(COUNTIFS($A$2:$A$15,$Q18,$B$2:$B$15,$R18,$C$2:$C$15,$S18,$E$2:$E$15,$T18))/COUNTIFS($A$2:$A$15,$Q18,$B$2:$B$15,$R18,$C$2:$C$15,$S18)</f>
        <v>1</v>
      </c>
      <c r="R20" s="99"/>
      <c r="S20" s="99"/>
      <c r="T20" s="99"/>
      <c r="V20" s="112" t="s">
        <v>18</v>
      </c>
      <c r="W20" s="113">
        <f>(COUNTIFS($A$2:$A$15,$W18,$B$2:$B$15,$X18,$C$2:$C$15,$Y18,$D$2:$D$15,$Z18,$E$2:$E$15,$AA18))/COUNTIFS($A$2:$A$15,$W18,$B$2:$B$15,$X18,$C$2:$C$15,$Y18,$D$2:$D$15,$Z18)</f>
        <v>0</v>
      </c>
      <c r="X20" s="99"/>
      <c r="Y20" s="99"/>
      <c r="Z20" s="99"/>
      <c r="AA20" s="99"/>
    </row>
    <row r="21" spans="1:27" x14ac:dyDescent="0.3">
      <c r="A21" s="14"/>
      <c r="B21" s="14"/>
      <c r="C21" s="14"/>
      <c r="D21" s="14"/>
      <c r="F21" s="99"/>
      <c r="G21" s="99"/>
      <c r="H21" s="99"/>
      <c r="I21" s="99"/>
    </row>
    <row r="22" spans="1:27" x14ac:dyDescent="0.3">
      <c r="A22" s="14"/>
      <c r="B22" s="14"/>
      <c r="C22" s="14"/>
      <c r="D22" s="14"/>
      <c r="F22" s="99"/>
      <c r="G22" s="99" t="s">
        <v>39</v>
      </c>
      <c r="H22" s="99"/>
      <c r="I22" s="99" t="s">
        <v>25</v>
      </c>
      <c r="K22" s="99"/>
      <c r="L22" s="99" t="s">
        <v>48</v>
      </c>
      <c r="M22" s="99" t="s">
        <v>13</v>
      </c>
      <c r="N22" s="99" t="s">
        <v>25</v>
      </c>
      <c r="P22" s="99"/>
      <c r="Q22" s="99" t="s">
        <v>186</v>
      </c>
      <c r="R22" s="99" t="s">
        <v>14</v>
      </c>
      <c r="S22" s="99" t="s">
        <v>13</v>
      </c>
      <c r="T22" s="99" t="s">
        <v>19</v>
      </c>
      <c r="V22" s="99"/>
      <c r="W22" s="99" t="s">
        <v>48</v>
      </c>
      <c r="X22" s="99" t="s">
        <v>14</v>
      </c>
      <c r="Y22" s="99" t="s">
        <v>16</v>
      </c>
      <c r="Z22" s="99" t="s">
        <v>10</v>
      </c>
      <c r="AA22" s="99" t="s">
        <v>25</v>
      </c>
    </row>
    <row r="23" spans="1:27" x14ac:dyDescent="0.3">
      <c r="A23" s="14"/>
      <c r="B23" s="14"/>
      <c r="C23" s="14"/>
      <c r="D23" s="14"/>
      <c r="F23" s="112" t="s">
        <v>17</v>
      </c>
      <c r="G23" s="113">
        <f>(COUNTIFS($A$2:$A$15,$G22,$E$2:$E$15,$I22))/COUNTA($A$2:$A$15)</f>
        <v>0.14285714285714285</v>
      </c>
      <c r="H23" s="99"/>
      <c r="I23" s="99"/>
      <c r="K23" s="112" t="s">
        <v>17</v>
      </c>
      <c r="L23" s="113">
        <f>(COUNTIFS($A$2:$A$15,$L22,$B$2:$B$15,$M22,$E$2:$E$15,$N22))/COUNTA($A$2:$A$15)</f>
        <v>0.14285714285714285</v>
      </c>
      <c r="M23" s="99"/>
      <c r="N23" s="99"/>
      <c r="P23" s="112" t="s">
        <v>17</v>
      </c>
      <c r="Q23" s="113">
        <f>(COUNTIFS($A$2:$A$15,$Q22,$B$2:$B$15,$R22,$C$2:$C$15,$S22,$E$2:$E$15,$T22))/COUNTA($A$2:$A$15)</f>
        <v>7.1428571428571425E-2</v>
      </c>
      <c r="R23" s="99"/>
      <c r="S23" s="99"/>
      <c r="T23" s="99"/>
      <c r="V23" s="112" t="s">
        <v>17</v>
      </c>
      <c r="W23" s="113">
        <f>(COUNTIFS($A$2:$A$15,$W22,$B$2:$B$15,$X22,$C$2:$C$15,$Y22,$D$2:$D$15,$Z22,$E$2:$E$15,$AA22))/COUNTA($A$2:$A$15)</f>
        <v>0</v>
      </c>
      <c r="X23" s="99"/>
      <c r="Y23" s="99"/>
      <c r="Z23" s="99"/>
      <c r="AA23" s="99"/>
    </row>
    <row r="24" spans="1:27" x14ac:dyDescent="0.3">
      <c r="A24" s="14"/>
      <c r="B24" s="14"/>
      <c r="C24" s="14"/>
      <c r="D24" s="14"/>
      <c r="F24" s="112" t="s">
        <v>18</v>
      </c>
      <c r="G24" s="113">
        <f>(COUNTIFS($A$2:$A$15,$G22,$E$2:$E$15,$I22))/COUNTIFS($A$2:$A$15,$G22)</f>
        <v>0.4</v>
      </c>
      <c r="H24" s="99"/>
      <c r="I24" s="99"/>
      <c r="K24" s="112" t="s">
        <v>18</v>
      </c>
      <c r="L24" s="113">
        <f>(COUNTIFS($A$2:$A$15,$L22,$B$2:$B$15,$M22,$E$2:$E$15,$N22))/COUNTIFS($A$2:$A$15,$L22,$B$2:$B$15,$M22)</f>
        <v>1</v>
      </c>
      <c r="M24" s="99"/>
      <c r="N24" s="99"/>
      <c r="P24" s="112" t="s">
        <v>18</v>
      </c>
      <c r="Q24" s="113">
        <f>(COUNTIFS($A$2:$A$15,$Q22,$B$2:$B$15,$R22,$C$2:$C$15,$S22,$E$2:$E$15,$T22))/COUNTIFS($A$2:$A$15,$Q22,$B$2:$B$15,$R22,$C$2:$C$15,$S22)</f>
        <v>1</v>
      </c>
      <c r="R24" s="99"/>
      <c r="S24" s="99"/>
      <c r="T24" s="99"/>
      <c r="V24" s="112" t="s">
        <v>18</v>
      </c>
      <c r="W24" s="113">
        <f>(COUNTIFS($A$2:$A$15,$W22,$B$2:$B$15,$X22,$C$2:$C$15,$Y22,$D$2:$D$15,$Z22,$E$2:$E$15,$AA22))/COUNTIFS($A$2:$A$15,$W22,$B$2:$B$15,$X22,$C$2:$C$15,$Y22,$D$2:$D$15,$Z22)</f>
        <v>0</v>
      </c>
      <c r="X24" s="99"/>
      <c r="Y24" s="99"/>
      <c r="Z24" s="99"/>
      <c r="AA24" s="99"/>
    </row>
    <row r="25" spans="1:27" x14ac:dyDescent="0.3">
      <c r="A25" s="14"/>
      <c r="B25" s="14"/>
      <c r="C25" s="14"/>
      <c r="D25" s="14"/>
    </row>
    <row r="26" spans="1:27" x14ac:dyDescent="0.3">
      <c r="A26" s="14"/>
      <c r="B26" s="14"/>
      <c r="C26" s="14"/>
      <c r="D26" s="14"/>
      <c r="F26" s="100"/>
      <c r="G26" s="100" t="s">
        <v>15</v>
      </c>
      <c r="H26" s="100"/>
      <c r="I26" s="100" t="s">
        <v>19</v>
      </c>
      <c r="K26" s="99"/>
      <c r="L26" s="99" t="s">
        <v>186</v>
      </c>
      <c r="M26" s="99" t="s">
        <v>15</v>
      </c>
      <c r="N26" s="99" t="s">
        <v>19</v>
      </c>
      <c r="P26" s="99"/>
      <c r="Q26" s="99" t="s">
        <v>186</v>
      </c>
      <c r="R26" s="99" t="s">
        <v>13</v>
      </c>
      <c r="S26" s="99" t="s">
        <v>16</v>
      </c>
      <c r="T26" s="99" t="s">
        <v>25</v>
      </c>
      <c r="V26" s="99"/>
      <c r="W26" s="99" t="s">
        <v>48</v>
      </c>
      <c r="X26" s="99" t="s">
        <v>14</v>
      </c>
      <c r="Y26" s="99" t="s">
        <v>13</v>
      </c>
      <c r="Z26" s="99" t="s">
        <v>9</v>
      </c>
      <c r="AA26" s="99" t="s">
        <v>25</v>
      </c>
    </row>
    <row r="27" spans="1:27" x14ac:dyDescent="0.3">
      <c r="A27" s="14"/>
      <c r="B27" s="14"/>
      <c r="C27" s="14"/>
      <c r="D27" s="14"/>
      <c r="F27" s="118" t="s">
        <v>17</v>
      </c>
      <c r="G27" s="119">
        <f>(COUNTIFS($B$2:$B$15,$G26,$E$2:$E$15,$I26))/COUNTA($B$2:$B$15)</f>
        <v>0.21428571428571427</v>
      </c>
      <c r="H27" s="100"/>
      <c r="I27" s="100"/>
      <c r="K27" s="112" t="s">
        <v>17</v>
      </c>
      <c r="L27" s="113">
        <f>(COUNTIFS($A$2:$A$15,$L26,$B$2:$B$15,$M26,$E$2:$E$15,$N26))/COUNTA($A$2:$A$15)</f>
        <v>7.1428571428571425E-2</v>
      </c>
      <c r="M27" s="99"/>
      <c r="N27" s="99"/>
      <c r="P27" s="112" t="s">
        <v>17</v>
      </c>
      <c r="Q27" s="113">
        <f>(COUNTIFS($A$2:$A$15,$Q26,$B$2:$B$15,$R26,$C$2:$C$15,$S26,$E$2:$E$15,$T26))/COUNTA($A$2:$A$15)</f>
        <v>0</v>
      </c>
      <c r="R27" s="99"/>
      <c r="S27" s="99"/>
      <c r="T27" s="99"/>
      <c r="V27" s="112" t="s">
        <v>17</v>
      </c>
      <c r="W27" s="113">
        <f>(COUNTIFS($A$2:$A$15,$W26,$B$2:$B$15,$X26,$C$2:$C$15,$Y26,$D$2:$D$15,$Z26,$E$2:$E$15,$AA26))/COUNTA($A$2:$A$15)</f>
        <v>7.1428571428571425E-2</v>
      </c>
      <c r="X27" s="99"/>
      <c r="Y27" s="99"/>
      <c r="Z27" s="99"/>
      <c r="AA27" s="99"/>
    </row>
    <row r="28" spans="1:27" x14ac:dyDescent="0.3">
      <c r="A28" s="14"/>
      <c r="B28" s="14"/>
      <c r="C28" s="14"/>
      <c r="D28" s="14"/>
      <c r="F28" s="118" t="s">
        <v>18</v>
      </c>
      <c r="G28" s="119">
        <f>(COUNTIFS($B$2:$B$15,$G26,$E$2:$E$15,$I26))/COUNTIFS($B$2:$B$15,$G26)</f>
        <v>0.6</v>
      </c>
      <c r="H28" s="100"/>
      <c r="I28" s="100"/>
      <c r="K28" s="112" t="s">
        <v>18</v>
      </c>
      <c r="L28" s="113">
        <f>(COUNTIFS($A$2:$A$15,$L26,$B$2:$B$15,$M26,$E$2:$E$15,$N26))/COUNTIFS($A$2:$A$15,$L26,$B$2:$B$15,$M26)</f>
        <v>1</v>
      </c>
      <c r="M28" s="99"/>
      <c r="N28" s="99"/>
      <c r="P28" s="112" t="s">
        <v>18</v>
      </c>
      <c r="Q28" s="113">
        <f>(COUNTIFS($A$2:$A$15,$Q26,$B$2:$B$15,$R26,$C$2:$C$15,$S26,$E$2:$E$15,$T26))/COUNTIFS($A$2:$A$15,$Q26,$B$2:$B$15,$R26,$C$2:$C$15,$S26)</f>
        <v>0</v>
      </c>
      <c r="R28" s="99"/>
      <c r="S28" s="99"/>
      <c r="T28" s="99"/>
      <c r="V28" s="112" t="s">
        <v>18</v>
      </c>
      <c r="W28" s="113">
        <f>(COUNTIFS($A$2:$A$15,$W26,$B$2:$B$15,$X26,$C$2:$C$15,$Y26,$D$2:$D$15,$Z26,$E$2:$E$15,$AA26))/COUNTIFS($A$2:$A$15,$W26,$B$2:$B$15,$X26,$C$2:$C$15,$Y26,$D$2:$D$15,$Z26)</f>
        <v>1</v>
      </c>
      <c r="X28" s="99"/>
      <c r="Y28" s="99"/>
      <c r="Z28" s="99"/>
      <c r="AA28" s="99"/>
    </row>
    <row r="29" spans="1:27" x14ac:dyDescent="0.3">
      <c r="A29" s="14"/>
      <c r="B29" s="14"/>
      <c r="C29" s="14"/>
      <c r="D29" s="14"/>
      <c r="F29" s="100"/>
      <c r="G29" s="100"/>
      <c r="H29" s="100"/>
      <c r="I29" s="100"/>
    </row>
    <row r="30" spans="1:27" x14ac:dyDescent="0.3">
      <c r="A30" s="14"/>
      <c r="B30" s="14"/>
      <c r="C30" s="14"/>
      <c r="D30" s="14"/>
      <c r="F30" s="100"/>
      <c r="G30" s="100" t="s">
        <v>15</v>
      </c>
      <c r="H30" s="100"/>
      <c r="I30" s="100" t="s">
        <v>25</v>
      </c>
      <c r="K30" s="99"/>
      <c r="L30" s="99" t="s">
        <v>186</v>
      </c>
      <c r="M30" s="99" t="s">
        <v>15</v>
      </c>
      <c r="N30" s="99" t="s">
        <v>25</v>
      </c>
      <c r="P30" s="99"/>
      <c r="Q30" s="99" t="s">
        <v>39</v>
      </c>
      <c r="R30" s="99" t="s">
        <v>15</v>
      </c>
      <c r="S30" s="99" t="s">
        <v>16</v>
      </c>
      <c r="T30" s="99" t="s">
        <v>19</v>
      </c>
      <c r="V30" s="99"/>
      <c r="W30" s="99" t="s">
        <v>48</v>
      </c>
      <c r="X30" s="99" t="s">
        <v>13</v>
      </c>
      <c r="Y30" s="99" t="s">
        <v>13</v>
      </c>
      <c r="Z30" s="99" t="s">
        <v>10</v>
      </c>
      <c r="AA30" s="99" t="s">
        <v>25</v>
      </c>
    </row>
    <row r="31" spans="1:27" x14ac:dyDescent="0.3">
      <c r="A31" s="14"/>
      <c r="B31" s="14"/>
      <c r="C31" s="14"/>
      <c r="D31" s="14"/>
      <c r="F31" s="118" t="s">
        <v>17</v>
      </c>
      <c r="G31" s="119">
        <f>(COUNTIFS($B$2:$B$15,$G30,$E$2:$E$15,$I30))/COUNTA($B$2:$B$15)</f>
        <v>0.14285714285714285</v>
      </c>
      <c r="H31" s="100"/>
      <c r="I31" s="100"/>
      <c r="K31" s="112" t="s">
        <v>17</v>
      </c>
      <c r="L31" s="113">
        <f>(COUNTIFS($A$2:$A$15,$L30,$B$2:$B$15,$M30,$E$2:$E$15,$N30))/COUNTA($A$2:$A$15)</f>
        <v>0</v>
      </c>
      <c r="M31" s="99"/>
      <c r="N31" s="99"/>
      <c r="P31" s="112" t="s">
        <v>17</v>
      </c>
      <c r="Q31" s="113">
        <f>(COUNTIFS($A$2:$A$15,$Q30,$B$2:$B$15,$R30,$C$2:$C$15,$S30,$E$2:$E$15,$T30))/COUNTA($A$2:$A$15)</f>
        <v>0</v>
      </c>
      <c r="R31" s="99"/>
      <c r="S31" s="99"/>
      <c r="T31" s="99"/>
      <c r="V31" s="112" t="s">
        <v>17</v>
      </c>
      <c r="W31" s="113">
        <f>(COUNTIFS($A$2:$A$15,$W30,$B$2:$B$15,$X30,$C$2:$C$15,$Y30,$D$2:$D$15,$Z30,$E$2:$E$15,$AA30))/COUNTA($A$2:$A$15)</f>
        <v>7.1428571428571425E-2</v>
      </c>
      <c r="X31" s="99"/>
      <c r="Y31" s="99"/>
      <c r="Z31" s="99"/>
      <c r="AA31" s="99"/>
    </row>
    <row r="32" spans="1:27" x14ac:dyDescent="0.3">
      <c r="F32" s="118" t="s">
        <v>18</v>
      </c>
      <c r="G32" s="119">
        <f>(COUNTIFS($B$2:$B$15,$G30,$E$2:$E$15,$I30))/COUNTIFS($B$2:$B$15,$G30)</f>
        <v>0.4</v>
      </c>
      <c r="H32" s="100"/>
      <c r="I32" s="100"/>
      <c r="K32" s="112" t="s">
        <v>18</v>
      </c>
      <c r="L32" s="113">
        <f>(COUNTIFS($A$2:$A$15,$L30,$B$2:$B$15,$M30,$E$2:$E$15,$N30))/COUNTIFS($A$2:$A$15,$L30,$B$2:$B$15,$M30)</f>
        <v>0</v>
      </c>
      <c r="M32" s="99"/>
      <c r="N32" s="99"/>
      <c r="P32" s="112" t="s">
        <v>18</v>
      </c>
      <c r="Q32" s="113">
        <f>(COUNTIFS($A$2:$A$15,$Q30,$B$2:$B$15,$R30,$C$2:$C$15,$S30,$E$2:$E$15,$T30))/COUNTIFS($A$2:$A$15,$Q30,$B$2:$B$15,$R30,$C$2:$C$15,$S30)</f>
        <v>0</v>
      </c>
      <c r="R32" s="99"/>
      <c r="S32" s="99"/>
      <c r="T32" s="99"/>
      <c r="V32" s="112" t="s">
        <v>18</v>
      </c>
      <c r="W32" s="113">
        <f>(COUNTIFS($A$2:$A$15,$W30,$B$2:$B$15,$X30,$C$2:$C$15,$Y30,$D$2:$D$15,$Z30,$E$2:$E$15,$AA30))/COUNTIFS($A$2:$A$15,$W30,$B$2:$B$15,$X30,$C$2:$C$15,$Y30,$D$2:$D$15,$Z30)</f>
        <v>1</v>
      </c>
      <c r="X32" s="99"/>
      <c r="Y32" s="99"/>
      <c r="Z32" s="99"/>
      <c r="AA32" s="99"/>
    </row>
    <row r="33" spans="6:27" x14ac:dyDescent="0.3">
      <c r="F33" s="100"/>
      <c r="G33" s="100"/>
      <c r="H33" s="100"/>
      <c r="I33" s="100"/>
    </row>
    <row r="34" spans="6:27" x14ac:dyDescent="0.3">
      <c r="F34" s="100"/>
      <c r="G34" s="100" t="s">
        <v>14</v>
      </c>
      <c r="H34" s="100"/>
      <c r="I34" s="100" t="s">
        <v>19</v>
      </c>
      <c r="K34" s="99"/>
      <c r="L34" s="99" t="s">
        <v>186</v>
      </c>
      <c r="M34" s="99" t="s">
        <v>14</v>
      </c>
      <c r="N34" s="99" t="s">
        <v>19</v>
      </c>
      <c r="P34" s="99"/>
      <c r="Q34" s="99" t="s">
        <v>39</v>
      </c>
      <c r="R34" s="99" t="s">
        <v>15</v>
      </c>
      <c r="S34" s="99" t="s">
        <v>13</v>
      </c>
      <c r="T34" s="99" t="s">
        <v>19</v>
      </c>
      <c r="V34" s="99"/>
      <c r="W34" s="99" t="s">
        <v>186</v>
      </c>
      <c r="X34" s="99" t="s">
        <v>15</v>
      </c>
      <c r="Y34" s="99" t="s">
        <v>16</v>
      </c>
      <c r="Z34" s="99" t="s">
        <v>10</v>
      </c>
      <c r="AA34" s="99" t="s">
        <v>19</v>
      </c>
    </row>
    <row r="35" spans="6:27" x14ac:dyDescent="0.3">
      <c r="F35" s="118" t="s">
        <v>17</v>
      </c>
      <c r="G35" s="119">
        <f>(COUNTIFS($B$2:$B$15,$G34,$E$2:$E$15,$I34))/COUNTA($B$2:$B$15)</f>
        <v>0.2857142857142857</v>
      </c>
      <c r="H35" s="100"/>
      <c r="I35" s="100"/>
      <c r="K35" s="112" t="s">
        <v>17</v>
      </c>
      <c r="L35" s="113">
        <f>(COUNTIFS($A$2:$A$15,$L34,$B$2:$B$15,$M34,$E$2:$E$15,$N34))/COUNTA($A$2:$A$15)</f>
        <v>7.1428571428571425E-2</v>
      </c>
      <c r="M35" s="99"/>
      <c r="N35" s="99"/>
      <c r="P35" s="112" t="s">
        <v>17</v>
      </c>
      <c r="Q35" s="113">
        <f>(COUNTIFS($A$2:$A$15,$Q34,$B$2:$B$15,$R34,$C$2:$C$15,$S34,$E$2:$E$15,$T34))/COUNTA($A$2:$A$15)</f>
        <v>7.1428571428571425E-2</v>
      </c>
      <c r="R35" s="99"/>
      <c r="S35" s="99"/>
      <c r="T35" s="99"/>
      <c r="V35" s="112" t="s">
        <v>17</v>
      </c>
      <c r="W35" s="113">
        <f>(COUNTIFS($A$2:$A$15,$W34,$B$2:$B$15,$X34,$C$2:$C$15,$Y34,$D$2:$D$15,$Z34,$E$2:$E$15,$AA34))/COUNTA($A$2:$A$15)</f>
        <v>7.1428571428571425E-2</v>
      </c>
      <c r="X35" s="99"/>
      <c r="Y35" s="99"/>
      <c r="Z35" s="99"/>
      <c r="AA35" s="99"/>
    </row>
    <row r="36" spans="6:27" x14ac:dyDescent="0.3">
      <c r="F36" s="118" t="s">
        <v>18</v>
      </c>
      <c r="G36" s="119">
        <f>(COUNTIFS($B$2:$B$15,$G34,$E$2:$E$15,$I34))/COUNTIFS($B$2:$B$15,$G34)</f>
        <v>0.8</v>
      </c>
      <c r="H36" s="100"/>
      <c r="I36" s="100"/>
      <c r="K36" s="112" t="s">
        <v>18</v>
      </c>
      <c r="L36" s="113">
        <f>(COUNTIFS($A$2:$A$15,$L34,$B$2:$B$15,$M34,$E$2:$E$15,$N34))/COUNTIFS($A$2:$A$15,$L34,$B$2:$B$15,$M34)</f>
        <v>1</v>
      </c>
      <c r="M36" s="99"/>
      <c r="N36" s="99"/>
      <c r="P36" s="112" t="s">
        <v>18</v>
      </c>
      <c r="Q36" s="113">
        <f>(COUNTIFS($A$2:$A$15,$Q34,$B$2:$B$15,$R34,$C$2:$C$15,$S34,$E$2:$E$15,$T34))/COUNTIFS($A$2:$A$15,$Q34,$B$2:$B$15,$R34,$C$2:$C$15,$S34)</f>
        <v>0.5</v>
      </c>
      <c r="R36" s="99"/>
      <c r="S36" s="99"/>
      <c r="T36" s="99"/>
      <c r="V36" s="112" t="s">
        <v>18</v>
      </c>
      <c r="W36" s="113">
        <f>(COUNTIFS($A$2:$A$15,$W34,$B$2:$B$15,$X34,$C$2:$C$15,$Y34,$D$2:$D$15,$Z34,$E$2:$E$15,$AA34))/COUNTIFS($A$2:$A$15,$W34,$B$2:$B$15,$X34,$C$2:$C$15,$Y34,$D$2:$D$15,$Z34)</f>
        <v>1</v>
      </c>
      <c r="X36" s="99"/>
      <c r="Y36" s="99"/>
      <c r="Z36" s="99"/>
      <c r="AA36" s="99"/>
    </row>
    <row r="37" spans="6:27" x14ac:dyDescent="0.3">
      <c r="F37" s="100"/>
      <c r="G37" s="100"/>
      <c r="H37" s="100"/>
      <c r="I37" s="100"/>
    </row>
    <row r="38" spans="6:27" x14ac:dyDescent="0.3">
      <c r="F38" s="100"/>
      <c r="G38" s="100" t="s">
        <v>14</v>
      </c>
      <c r="H38" s="100"/>
      <c r="I38" s="100" t="s">
        <v>25</v>
      </c>
      <c r="K38" s="99"/>
      <c r="L38" s="99" t="s">
        <v>186</v>
      </c>
      <c r="M38" s="99" t="s">
        <v>14</v>
      </c>
      <c r="N38" s="99" t="s">
        <v>25</v>
      </c>
      <c r="P38" s="99"/>
      <c r="Q38" s="99" t="s">
        <v>39</v>
      </c>
      <c r="R38" s="99" t="s">
        <v>14</v>
      </c>
      <c r="S38" s="99" t="s">
        <v>13</v>
      </c>
      <c r="T38" s="99" t="s">
        <v>25</v>
      </c>
      <c r="V38" s="99"/>
      <c r="W38" s="99" t="s">
        <v>186</v>
      </c>
      <c r="X38" s="99" t="s">
        <v>14</v>
      </c>
      <c r="Y38" s="99" t="s">
        <v>13</v>
      </c>
      <c r="Z38" s="99" t="s">
        <v>10</v>
      </c>
      <c r="AA38" s="99" t="s">
        <v>19</v>
      </c>
    </row>
    <row r="39" spans="6:27" x14ac:dyDescent="0.3">
      <c r="F39" s="118" t="s">
        <v>17</v>
      </c>
      <c r="G39" s="120">
        <f>(COUNTIFS($B$2:$B$15,$G38,$E$2:$E$15,$I38))/COUNTA($B$2:$B$15)</f>
        <v>7.1428571428571425E-2</v>
      </c>
      <c r="H39" s="118"/>
      <c r="I39" s="118"/>
      <c r="K39" s="112" t="s">
        <v>17</v>
      </c>
      <c r="L39" s="113">
        <f>(COUNTIFS($A$2:$A$15,$L38,$B$2:$B$15,$M38,$E$2:$E$15,$N38))/COUNTA($A$2:$A$15)</f>
        <v>0</v>
      </c>
      <c r="M39" s="99"/>
      <c r="N39" s="99"/>
      <c r="P39" s="112" t="s">
        <v>17</v>
      </c>
      <c r="Q39" s="113">
        <f>(COUNTIFS($A$2:$A$15,$Q38,$B$2:$B$15,$R38,$C$2:$C$15,$S38,$E$2:$E$15,$T38))/COUNTA($A$2:$A$15)</f>
        <v>0</v>
      </c>
      <c r="R39" s="99"/>
      <c r="S39" s="99"/>
      <c r="T39" s="99"/>
      <c r="V39" s="112" t="s">
        <v>17</v>
      </c>
      <c r="W39" s="113">
        <f>(COUNTIFS($A$2:$A$15,$W38,$B$2:$B$15,$X38,$C$2:$C$15,$Y38,$D$2:$D$15,$Z38,$E$2:$E$15,$AA38))/COUNTA($A$2:$A$15)</f>
        <v>7.1428571428571425E-2</v>
      </c>
      <c r="X39" s="99"/>
      <c r="Y39" s="99"/>
      <c r="Z39" s="99"/>
      <c r="AA39" s="99"/>
    </row>
    <row r="40" spans="6:27" x14ac:dyDescent="0.3">
      <c r="F40" s="118" t="s">
        <v>18</v>
      </c>
      <c r="G40" s="118">
        <f>(COUNTIFS($B$2:$B$15,$G38,$E$2:$E$15,$I38))/COUNTIFS($B$2:$B$15,$G38)</f>
        <v>0.2</v>
      </c>
      <c r="H40" s="118"/>
      <c r="I40" s="118"/>
      <c r="K40" s="112" t="s">
        <v>18</v>
      </c>
      <c r="L40" s="113">
        <f>(COUNTIFS($A$2:$A$15,$L38,$B$2:$B$15,$M38,$E$2:$E$15,$N38))/COUNTIFS($A$2:$A$15,$L38,$B$2:$B$15,$M38)</f>
        <v>0</v>
      </c>
      <c r="M40" s="99"/>
      <c r="N40" s="99"/>
      <c r="P40" s="112" t="s">
        <v>18</v>
      </c>
      <c r="Q40" s="113">
        <f>(COUNTIFS($A$2:$A$15,$Q38,$B$2:$B$15,$R38,$C$2:$C$15,$S38,$E$2:$E$15,$T38))/COUNTIFS($A$2:$A$15,$Q38,$B$2:$B$15,$R38,$C$2:$C$15,$S38)</f>
        <v>0</v>
      </c>
      <c r="R40" s="99"/>
      <c r="S40" s="99"/>
      <c r="T40" s="99"/>
      <c r="V40" s="112" t="s">
        <v>18</v>
      </c>
      <c r="W40" s="113">
        <f>(COUNTIFS($A$2:$A$15,$W38,$B$2:$B$15,$X38,$C$2:$C$15,$Y38,$D$2:$D$15,$Z38,$E$2:$E$15,$AA38))/COUNTIFS($A$2:$A$15,$W38,$B$2:$B$15,$X38,$C$2:$C$15,$Y38,$D$2:$D$15,$Z38)</f>
        <v>1</v>
      </c>
      <c r="X40" s="99"/>
      <c r="Y40" s="99"/>
      <c r="Z40" s="99"/>
      <c r="AA40" s="99"/>
    </row>
    <row r="41" spans="6:27" x14ac:dyDescent="0.3">
      <c r="F41" s="118"/>
      <c r="G41" s="118"/>
      <c r="H41" s="118"/>
      <c r="I41" s="118"/>
      <c r="P41" s="74"/>
      <c r="Q41" s="74"/>
      <c r="R41" s="74"/>
      <c r="S41" s="74"/>
      <c r="T41" s="74"/>
    </row>
    <row r="42" spans="6:27" x14ac:dyDescent="0.3">
      <c r="F42" s="118"/>
      <c r="G42" s="118" t="s">
        <v>13</v>
      </c>
      <c r="H42" s="118"/>
      <c r="I42" s="118" t="s">
        <v>19</v>
      </c>
      <c r="K42" s="99"/>
      <c r="L42" s="99" t="s">
        <v>186</v>
      </c>
      <c r="M42" s="99" t="s">
        <v>13</v>
      </c>
      <c r="N42" s="99" t="s">
        <v>19</v>
      </c>
      <c r="P42" s="74"/>
      <c r="Q42" s="74"/>
      <c r="R42" s="74"/>
      <c r="S42" s="74"/>
      <c r="T42" s="74"/>
      <c r="V42" s="99"/>
      <c r="W42" s="99" t="s">
        <v>186</v>
      </c>
      <c r="X42" s="99" t="s">
        <v>14</v>
      </c>
      <c r="Y42" s="99" t="s">
        <v>16</v>
      </c>
      <c r="Z42" s="99" t="s">
        <v>9</v>
      </c>
      <c r="AA42" s="99" t="s">
        <v>19</v>
      </c>
    </row>
    <row r="43" spans="6:27" x14ac:dyDescent="0.3">
      <c r="F43" s="118" t="s">
        <v>17</v>
      </c>
      <c r="G43" s="120">
        <f>(COUNTIFS($B$2:$B$15,$G42,$E$2:$E$15,$I42))/COUNTA($B$2:$B$15)</f>
        <v>0.14285714285714285</v>
      </c>
      <c r="H43" s="118"/>
      <c r="I43" s="118"/>
      <c r="K43" s="112" t="s">
        <v>17</v>
      </c>
      <c r="L43" s="113">
        <f>(COUNTIFS($A$2:$A$15,$L42,$B$2:$B$15,$M42,$E$2:$E$15,$N42))/COUNTA($A$2:$A$15)</f>
        <v>0.14285714285714285</v>
      </c>
      <c r="M43" s="99"/>
      <c r="N43" s="99"/>
      <c r="P43" s="22"/>
      <c r="Q43" s="121"/>
      <c r="R43" s="74"/>
      <c r="S43" s="74"/>
      <c r="T43" s="74"/>
      <c r="V43" s="112" t="s">
        <v>17</v>
      </c>
      <c r="W43" s="113">
        <f>(COUNTIFS($A$2:$A$15,$W42,$B$2:$B$15,$X42,$C$2:$C$15,$Y42,$D$2:$D$15,$Z42,$E$2:$E$15,$AA42))/COUNTA($A$2:$A$15)</f>
        <v>0</v>
      </c>
      <c r="X43" s="99"/>
      <c r="Y43" s="99"/>
      <c r="Z43" s="99"/>
      <c r="AA43" s="99"/>
    </row>
    <row r="44" spans="6:27" x14ac:dyDescent="0.3">
      <c r="F44" s="118" t="s">
        <v>18</v>
      </c>
      <c r="G44" s="118">
        <f>(COUNTIFS($B$2:$B$15,$G42,$E$2:$E$15,$I42))/COUNTIFS($B$2:$B$15,$G42)</f>
        <v>0.5</v>
      </c>
      <c r="H44" s="118"/>
      <c r="I44" s="118"/>
      <c r="K44" s="112" t="s">
        <v>18</v>
      </c>
      <c r="L44" s="113">
        <f>(COUNTIFS($A$2:$A$15,$L42,$B$2:$B$15,$M42,$E$2:$E$15,$N42))/COUNTIFS($A$2:$A$15,$L42,$B$2:$B$15,$M42)</f>
        <v>1</v>
      </c>
      <c r="M44" s="99"/>
      <c r="N44" s="99"/>
      <c r="P44" s="22"/>
      <c r="Q44" s="121"/>
      <c r="R44" s="74"/>
      <c r="S44" s="74"/>
      <c r="T44" s="74"/>
      <c r="V44" s="112" t="s">
        <v>18</v>
      </c>
      <c r="W44" s="113" t="e">
        <f>(COUNTIFS($A$2:$A$15,$W42,$B$2:$B$15,$X42,$C$2:$C$15,$Y42,$D$2:$D$15,$Z42,$E$2:$E$15,$AA42))/COUNTIFS($A$2:$A$15,$W42,$B$2:$B$15,$X42,$C$2:$C$15,$Y42,$D$2:$D$15,$Z42)</f>
        <v>#DIV/0!</v>
      </c>
      <c r="X44" s="99"/>
      <c r="Y44" s="99"/>
      <c r="Z44" s="99"/>
      <c r="AA44" s="99"/>
    </row>
    <row r="45" spans="6:27" x14ac:dyDescent="0.3">
      <c r="F45" s="118"/>
      <c r="G45" s="118"/>
      <c r="H45" s="118"/>
      <c r="I45" s="118"/>
      <c r="P45" s="74"/>
      <c r="Q45" s="74"/>
      <c r="R45" s="74"/>
      <c r="S45" s="74"/>
      <c r="T45" s="74"/>
    </row>
    <row r="46" spans="6:27" x14ac:dyDescent="0.3">
      <c r="F46" s="118"/>
      <c r="G46" s="118" t="s">
        <v>13</v>
      </c>
      <c r="H46" s="118"/>
      <c r="I46" s="118" t="s">
        <v>25</v>
      </c>
      <c r="K46" s="99"/>
      <c r="L46" s="99" t="s">
        <v>186</v>
      </c>
      <c r="M46" s="99" t="s">
        <v>13</v>
      </c>
      <c r="N46" s="99" t="s">
        <v>25</v>
      </c>
      <c r="P46" s="74"/>
      <c r="Q46" s="74"/>
      <c r="R46" s="74"/>
      <c r="S46" s="74"/>
      <c r="T46" s="74"/>
      <c r="V46" s="99"/>
      <c r="W46" s="99" t="s">
        <v>186</v>
      </c>
      <c r="X46" s="99" t="s">
        <v>13</v>
      </c>
      <c r="Y46" s="99" t="s">
        <v>16</v>
      </c>
      <c r="Z46" s="99" t="s">
        <v>188</v>
      </c>
      <c r="AA46" s="99" t="s">
        <v>19</v>
      </c>
    </row>
    <row r="47" spans="6:27" x14ac:dyDescent="0.3">
      <c r="F47" s="118" t="s">
        <v>17</v>
      </c>
      <c r="G47" s="120">
        <f>(COUNTIFS($B$2:$B$15,$G46,$E$2:$E$15,$I46))/COUNTA($B$2:$B$15)</f>
        <v>0.14285714285714285</v>
      </c>
      <c r="H47" s="118"/>
      <c r="I47" s="118"/>
      <c r="K47" s="112" t="s">
        <v>17</v>
      </c>
      <c r="L47" s="113">
        <f>(COUNTIFS($A$2:$A$15,$L46,$B$2:$B$15,$M46,$E$2:$E$15,$N46))/COUNTA($A$2:$A$15)</f>
        <v>0</v>
      </c>
      <c r="M47" s="99"/>
      <c r="N47" s="99"/>
      <c r="V47" s="112" t="s">
        <v>17</v>
      </c>
      <c r="W47" s="113">
        <f>(COUNTIFS($A$2:$A$15,$W46,$B$2:$B$15,$X46,$C$2:$C$15,$Y46,$D$2:$D$15,$Z46,$E$2:$E$15,$AA46))/COUNTA($A$2:$A$15)</f>
        <v>0.14285714285714285</v>
      </c>
      <c r="X47" s="99"/>
      <c r="Y47" s="99"/>
      <c r="Z47" s="99"/>
      <c r="AA47" s="99"/>
    </row>
    <row r="48" spans="6:27" x14ac:dyDescent="0.3">
      <c r="F48" s="118" t="s">
        <v>18</v>
      </c>
      <c r="G48" s="118">
        <f>(COUNTIFS($B$2:$B$15,$G46,$E$2:$E$15,$I46))/COUNTIFS($B$2:$B$15,$G46)</f>
        <v>0.5</v>
      </c>
      <c r="H48" s="118"/>
      <c r="I48" s="118"/>
      <c r="K48" s="112" t="s">
        <v>18</v>
      </c>
      <c r="L48" s="113">
        <f>(COUNTIFS($A$2:$A$15,$L46,$B$2:$B$15,$M46,$E$2:$E$15,$N46))/COUNTIFS($A$2:$A$15,$L46,$B$2:$B$15,$M46)</f>
        <v>0</v>
      </c>
      <c r="M48" s="99"/>
      <c r="N48" s="99"/>
      <c r="V48" s="112" t="s">
        <v>18</v>
      </c>
      <c r="W48" s="113">
        <f>(COUNTIFS($A$2:$A$15,$W46,$B$2:$B$15,$X46,$C$2:$C$15,$Y46,$D$2:$D$15,$Z46,$E$2:$E$15,$AA46))/COUNTIFS($A$2:$A$15,$W46,$B$2:$B$15,$X46,$C$2:$C$15,$Y46,$D$2:$D$15,$Z46)</f>
        <v>1</v>
      </c>
      <c r="X48" s="99"/>
      <c r="Y48" s="99"/>
      <c r="Z48" s="99"/>
      <c r="AA48" s="99"/>
    </row>
    <row r="50" spans="6:27" x14ac:dyDescent="0.3">
      <c r="F50" s="122"/>
      <c r="G50" s="122"/>
      <c r="H50" s="122"/>
      <c r="I50" s="122"/>
      <c r="K50" s="99"/>
      <c r="L50" s="99" t="s">
        <v>39</v>
      </c>
      <c r="M50" s="99" t="s">
        <v>15</v>
      </c>
      <c r="N50" s="99" t="s">
        <v>19</v>
      </c>
      <c r="V50" s="99"/>
      <c r="W50" s="99" t="s">
        <v>186</v>
      </c>
      <c r="X50" s="99" t="s">
        <v>15</v>
      </c>
      <c r="Y50" s="99" t="s">
        <v>16</v>
      </c>
      <c r="Z50" s="99" t="s">
        <v>10</v>
      </c>
      <c r="AA50" s="99" t="s">
        <v>25</v>
      </c>
    </row>
    <row r="51" spans="6:27" x14ac:dyDescent="0.3">
      <c r="F51" s="122"/>
      <c r="G51" s="122" t="s">
        <v>13</v>
      </c>
      <c r="H51" s="122"/>
      <c r="I51" s="122" t="s">
        <v>19</v>
      </c>
      <c r="K51" s="112" t="s">
        <v>17</v>
      </c>
      <c r="L51" s="113">
        <f>(COUNTIFS($A$2:$A$15,$L50,$B$2:$B$15,$M50,$E$2:$E$15,$N50))/COUNTA($A$2:$A$15)</f>
        <v>7.1428571428571425E-2</v>
      </c>
      <c r="M51" s="99"/>
      <c r="N51" s="99"/>
      <c r="V51" s="112" t="s">
        <v>17</v>
      </c>
      <c r="W51" s="113">
        <f>(COUNTIFS($A$2:$A$15,$W50,$B$2:$B$15,$X50,$C$2:$C$15,$Y50,$D$2:$D$15,$Z50,$E$2:$E$15,$AA50))/COUNTA($A$2:$A$15)</f>
        <v>0</v>
      </c>
      <c r="X51" s="99"/>
      <c r="Y51" s="99"/>
      <c r="Z51" s="99"/>
      <c r="AA51" s="99"/>
    </row>
    <row r="52" spans="6:27" x14ac:dyDescent="0.3">
      <c r="F52" s="123" t="s">
        <v>17</v>
      </c>
      <c r="G52" s="8">
        <f>(COUNTIFS($C$2:$C$15,$G51,$E$2:$E$15,$I51))/COUNTA($C$2:$C$15)</f>
        <v>0.2857142857142857</v>
      </c>
      <c r="H52" s="122"/>
      <c r="I52" s="122"/>
      <c r="K52" s="112" t="s">
        <v>18</v>
      </c>
      <c r="L52" s="113">
        <f>(COUNTIFS($A$2:$A$15,$L50,$B$2:$B$15,$M50,$E$2:$E$15,$N50))/COUNTIFS($A$2:$A$15,$L50,$B$2:$B$15,$M50)</f>
        <v>0.33333333333333331</v>
      </c>
      <c r="M52" s="99"/>
      <c r="N52" s="99"/>
      <c r="V52" s="112" t="s">
        <v>18</v>
      </c>
      <c r="W52" s="113">
        <f>(COUNTIFS($A$2:$A$15,$W50,$B$2:$B$15,$X50,$C$2:$C$15,$Y50,$D$2:$D$15,$Z50,$E$2:$E$15,$AA50))/COUNTIFS($A$2:$A$15,$W50,$B$2:$B$15,$X50,$C$2:$C$15,$Y50,$D$2:$D$15,$Z50)</f>
        <v>0</v>
      </c>
      <c r="X52" s="99"/>
      <c r="Y52" s="99"/>
      <c r="Z52" s="99"/>
      <c r="AA52" s="99"/>
    </row>
    <row r="53" spans="6:27" x14ac:dyDescent="0.3">
      <c r="F53" s="123" t="s">
        <v>18</v>
      </c>
      <c r="G53" s="8">
        <f>(COUNTIFS($C$2:$C$15,$G51,$E$2:$E$15,$I51))/COUNTIFS($C$2:$C$15,$G51)</f>
        <v>0.5</v>
      </c>
      <c r="H53" s="122"/>
      <c r="I53" s="122"/>
    </row>
    <row r="54" spans="6:27" x14ac:dyDescent="0.3">
      <c r="F54" s="122"/>
      <c r="G54" s="122"/>
      <c r="H54" s="122"/>
      <c r="I54" s="122"/>
      <c r="K54" s="99"/>
      <c r="L54" s="99" t="s">
        <v>39</v>
      </c>
      <c r="M54" s="99" t="s">
        <v>15</v>
      </c>
      <c r="N54" s="99" t="s">
        <v>25</v>
      </c>
      <c r="V54" s="99"/>
      <c r="W54" s="99" t="s">
        <v>186</v>
      </c>
      <c r="X54" s="99" t="s">
        <v>14</v>
      </c>
      <c r="Y54" s="99" t="s">
        <v>13</v>
      </c>
      <c r="Z54" s="99" t="s">
        <v>10</v>
      </c>
      <c r="AA54" s="99" t="s">
        <v>25</v>
      </c>
    </row>
    <row r="55" spans="6:27" x14ac:dyDescent="0.3">
      <c r="F55" s="122"/>
      <c r="G55" s="122" t="s">
        <v>13</v>
      </c>
      <c r="H55" s="122"/>
      <c r="I55" s="122" t="s">
        <v>25</v>
      </c>
      <c r="K55" s="112" t="s">
        <v>17</v>
      </c>
      <c r="L55" s="113">
        <f>(COUNTIFS($A$2:$A$15,$L54,$B$2:$B$15,$M54,$E$2:$E$15,$N54))/COUNTA($A$2:$A$15)</f>
        <v>0.14285714285714285</v>
      </c>
      <c r="M55" s="99"/>
      <c r="N55" s="99"/>
      <c r="V55" s="112" t="s">
        <v>17</v>
      </c>
      <c r="W55" s="113">
        <f>(COUNTIFS($A$2:$A$15,$W54,$B$2:$B$15,$X54,$C$2:$C$15,$Y54,$D$2:$D$15,$Z54,$E$2:$E$15,$AA54))/COUNTA($A$2:$A$15)</f>
        <v>0</v>
      </c>
      <c r="X55" s="99"/>
      <c r="Y55" s="99"/>
      <c r="Z55" s="99"/>
      <c r="AA55" s="99"/>
    </row>
    <row r="56" spans="6:27" x14ac:dyDescent="0.3">
      <c r="F56" s="123" t="s">
        <v>17</v>
      </c>
      <c r="G56" s="8">
        <f>(COUNTIFS($C$2:$C$15,$G55,$E$2:$E$15,$I55))/COUNTA($C$2:$C$15)</f>
        <v>0.2857142857142857</v>
      </c>
      <c r="H56" s="122"/>
      <c r="I56" s="122"/>
      <c r="K56" s="112" t="s">
        <v>18</v>
      </c>
      <c r="L56" s="113">
        <f>(COUNTIFS($A$2:$A$15,$L54,$B$2:$B$15,$M54,$E$2:$E$15,$N54))/COUNTIFS($A$2:$A$15,$L54,$B$2:$B$15,$M54)</f>
        <v>0.66666666666666663</v>
      </c>
      <c r="M56" s="99"/>
      <c r="N56" s="99"/>
      <c r="V56" s="112" t="s">
        <v>18</v>
      </c>
      <c r="W56" s="113">
        <f>(COUNTIFS($A$2:$A$15,$W54,$B$2:$B$15,$X54,$C$2:$C$15,$Y54,$D$2:$D$15,$Z54,$E$2:$E$15,$AA54))/COUNTIFS($A$2:$A$15,$W54,$B$2:$B$15,$X54,$C$2:$C$15,$Y54,$D$2:$D$15,$Z54)</f>
        <v>0</v>
      </c>
      <c r="X56" s="99"/>
      <c r="Y56" s="99"/>
      <c r="Z56" s="99"/>
      <c r="AA56" s="99"/>
    </row>
    <row r="57" spans="6:27" x14ac:dyDescent="0.3">
      <c r="F57" s="123" t="s">
        <v>18</v>
      </c>
      <c r="G57" s="8">
        <f>(COUNTIFS($C$2:$C$15,$G55,$E$2:$E$15,$I55))/COUNTIFS($C$2:$C$15,$G55)</f>
        <v>0.5</v>
      </c>
      <c r="H57" s="122"/>
      <c r="I57" s="122"/>
    </row>
    <row r="58" spans="6:27" x14ac:dyDescent="0.3">
      <c r="F58" s="122"/>
      <c r="G58" s="122"/>
      <c r="H58" s="122"/>
      <c r="I58" s="122"/>
      <c r="K58" s="99"/>
      <c r="L58" s="99" t="s">
        <v>39</v>
      </c>
      <c r="M58" s="99" t="s">
        <v>14</v>
      </c>
      <c r="N58" s="99" t="s">
        <v>19</v>
      </c>
      <c r="V58" s="99"/>
      <c r="W58" s="99" t="s">
        <v>186</v>
      </c>
      <c r="X58" s="99" t="s">
        <v>13</v>
      </c>
      <c r="Y58" s="99" t="s">
        <v>16</v>
      </c>
      <c r="Z58" s="99" t="s">
        <v>9</v>
      </c>
      <c r="AA58" s="99" t="s">
        <v>25</v>
      </c>
    </row>
    <row r="59" spans="6:27" x14ac:dyDescent="0.3">
      <c r="F59" s="122"/>
      <c r="G59" s="122" t="s">
        <v>16</v>
      </c>
      <c r="H59" s="122"/>
      <c r="I59" s="122" t="s">
        <v>19</v>
      </c>
      <c r="K59" s="112" t="s">
        <v>17</v>
      </c>
      <c r="L59" s="113">
        <f>(COUNTIFS($A$2:$A$15,$L58,$B$2:$B$15,$M58,$E$2:$E$15,$N58))/COUNTA($A$2:$A$15)</f>
        <v>0.14285714285714285</v>
      </c>
      <c r="M59" s="99"/>
      <c r="N59" s="99"/>
      <c r="V59" s="112" t="s">
        <v>17</v>
      </c>
      <c r="W59" s="113">
        <f>(COUNTIFS($A$2:$A$15,$W58,$B$2:$B$15,$X58,$C$2:$C$15,$Y58,$D$2:$D$15,$Z58,$E$2:$E$15,$AA58))/COUNTA($A$2:$A$15)</f>
        <v>0</v>
      </c>
      <c r="X59" s="99"/>
      <c r="Y59" s="99"/>
      <c r="Z59" s="99"/>
      <c r="AA59" s="99"/>
    </row>
    <row r="60" spans="6:27" x14ac:dyDescent="0.3">
      <c r="F60" s="123" t="s">
        <v>17</v>
      </c>
      <c r="G60" s="8">
        <f>(COUNTIFS($C$2:$C$15,$G59,$E$2:$E$15,$I59))/COUNTA($C$2:$C$15)</f>
        <v>0.35714285714285715</v>
      </c>
      <c r="H60" s="122"/>
      <c r="I60" s="122"/>
      <c r="K60" s="112" t="s">
        <v>18</v>
      </c>
      <c r="L60" s="113">
        <f>(COUNTIFS($A$2:$A$15,$L58,$B$2:$B$15,$M58,$E$2:$E$15,$N58))/COUNTIFS($A$2:$A$15,$L58,$B$2:$B$15,$M58)</f>
        <v>1</v>
      </c>
      <c r="M60" s="99"/>
      <c r="N60" s="99"/>
      <c r="V60" s="112" t="s">
        <v>18</v>
      </c>
      <c r="W60" s="113">
        <f>(COUNTIFS($A$2:$A$15,$W58,$B$2:$B$15,$X58,$C$2:$C$15,$Y58,$D$2:$D$15,$Z58,$E$2:$E$15,$AA58))/COUNTIFS($A$2:$A$15,$W58,$B$2:$B$15,$X58,$C$2:$C$15,$Y58,$D$2:$D$15,$Z58)</f>
        <v>0</v>
      </c>
      <c r="X60" s="99"/>
      <c r="Y60" s="99"/>
      <c r="Z60" s="99"/>
      <c r="AA60" s="99"/>
    </row>
    <row r="61" spans="6:27" x14ac:dyDescent="0.3">
      <c r="F61" s="123" t="s">
        <v>18</v>
      </c>
      <c r="G61" s="8">
        <f>(COUNTIFS($C$2:$C$15,$G59,$E$2:$E$15,$I59))/COUNTIFS($C$2:$C$15,$G59)</f>
        <v>0.83333333333333337</v>
      </c>
      <c r="H61" s="122"/>
      <c r="I61" s="122"/>
    </row>
    <row r="62" spans="6:27" x14ac:dyDescent="0.3">
      <c r="F62" s="122"/>
      <c r="G62" s="122"/>
      <c r="H62" s="122"/>
      <c r="I62" s="122"/>
      <c r="K62" s="99"/>
      <c r="L62" s="99" t="s">
        <v>39</v>
      </c>
      <c r="M62" s="99" t="s">
        <v>14</v>
      </c>
      <c r="N62" s="99" t="s">
        <v>25</v>
      </c>
      <c r="V62" s="99"/>
      <c r="W62" s="99" t="s">
        <v>186</v>
      </c>
      <c r="X62" s="99" t="s">
        <v>13</v>
      </c>
      <c r="Y62" s="99" t="s">
        <v>13</v>
      </c>
      <c r="Z62" s="99" t="s">
        <v>10</v>
      </c>
      <c r="AA62" s="99" t="s">
        <v>25</v>
      </c>
    </row>
    <row r="63" spans="6:27" x14ac:dyDescent="0.3">
      <c r="F63" s="122"/>
      <c r="G63" s="122" t="s">
        <v>16</v>
      </c>
      <c r="H63" s="122"/>
      <c r="I63" s="122" t="s">
        <v>25</v>
      </c>
      <c r="K63" s="112" t="s">
        <v>17</v>
      </c>
      <c r="L63" s="113">
        <f>(COUNTIFS($A$2:$A$15,$L62,$B$2:$B$15,$M62,$E$2:$E$15,$N62))/COUNTA($A$2:$A$15)</f>
        <v>0</v>
      </c>
      <c r="M63" s="99"/>
      <c r="N63" s="99"/>
      <c r="V63" s="112" t="s">
        <v>17</v>
      </c>
      <c r="W63" s="113">
        <f>(COUNTIFS($A$2:$A$15,$W62,$B$2:$B$15,$X62,$C$2:$C$15,$Y62,$D$2:$D$15,$Z62,$E$2:$E$15,$AA62))/COUNTA($A$2:$A$15)</f>
        <v>0</v>
      </c>
      <c r="X63" s="99"/>
      <c r="Y63" s="99"/>
      <c r="Z63" s="99"/>
      <c r="AA63" s="99"/>
    </row>
    <row r="64" spans="6:27" x14ac:dyDescent="0.3">
      <c r="F64" s="123" t="s">
        <v>17</v>
      </c>
      <c r="G64" s="8">
        <f>(COUNTIFS($C$2:$C$15,$G63,$E$2:$E$15,$I63))/COUNTA($C$2:$C$15)</f>
        <v>7.1428571428571425E-2</v>
      </c>
      <c r="H64" s="122"/>
      <c r="I64" s="122"/>
      <c r="K64" s="112" t="s">
        <v>18</v>
      </c>
      <c r="L64" s="113">
        <f>(COUNTIFS($A$2:$A$15,$L62,$B$2:$B$15,$M62,$E$2:$E$15,$N62))/COUNTIFS($A$2:$A$15,$L62,$B$2:$B$15,$M62)</f>
        <v>0</v>
      </c>
      <c r="M64" s="99"/>
      <c r="N64" s="99"/>
      <c r="V64" s="112" t="s">
        <v>18</v>
      </c>
      <c r="W64" s="113" t="e">
        <f>(COUNTIFS($A$2:$A$15,$W62,$B$2:$B$15,$X62,$C$2:$C$15,$Y62,$D$2:$D$15,$Z62,$E$2:$E$15,$AA62))/COUNTIFS($A$2:$A$15,$W62,$B$2:$B$15,$X62,$C$2:$C$15,$Y62,$D$2:$D$15,$Z62)</f>
        <v>#DIV/0!</v>
      </c>
      <c r="X64" s="99"/>
      <c r="Y64" s="99"/>
      <c r="Z64" s="99"/>
      <c r="AA64" s="99"/>
    </row>
    <row r="65" spans="6:27" x14ac:dyDescent="0.3">
      <c r="F65" s="123" t="s">
        <v>18</v>
      </c>
      <c r="G65" s="8">
        <f>(COUNTIFS($C$2:$C$15,$G63,$E$2:$E$15,$I63))/COUNTIFS($C$2:$C$15,$G63)</f>
        <v>0.16666666666666666</v>
      </c>
      <c r="H65" s="122"/>
      <c r="I65" s="122"/>
    </row>
    <row r="66" spans="6:27" x14ac:dyDescent="0.3">
      <c r="V66" s="99"/>
      <c r="W66" s="99" t="s">
        <v>39</v>
      </c>
      <c r="X66" s="99" t="s">
        <v>15</v>
      </c>
      <c r="Y66" s="99" t="s">
        <v>16</v>
      </c>
      <c r="Z66" s="99" t="s">
        <v>187</v>
      </c>
      <c r="AA66" s="99" t="s">
        <v>19</v>
      </c>
    </row>
    <row r="67" spans="6:27" x14ac:dyDescent="0.3">
      <c r="F67" s="124"/>
      <c r="G67" s="124" t="s">
        <v>187</v>
      </c>
      <c r="H67" s="124"/>
      <c r="I67" s="124" t="s">
        <v>19</v>
      </c>
      <c r="V67" s="112" t="s">
        <v>17</v>
      </c>
      <c r="W67" s="113">
        <f>(COUNTIFS($A$2:$A$15,$W66,$B$2:$B$15,$X66,$C$2:$C$15,$Y66,$D$2:$D$15,$Z66,$E$2:$E$15,$AA66))/COUNTA($A$2:$A$15)</f>
        <v>0</v>
      </c>
      <c r="X67" s="99"/>
      <c r="Y67" s="99"/>
      <c r="Z67" s="99"/>
      <c r="AA67" s="99"/>
    </row>
    <row r="68" spans="6:27" x14ac:dyDescent="0.3">
      <c r="F68" s="124" t="s">
        <v>17</v>
      </c>
      <c r="G68" s="125">
        <f>(COUNTIFS($D$2:$D$15,$G67,$E$2:$E$15,$I67))/COUNTA($D$2:$D$15)</f>
        <v>0.21428571428571427</v>
      </c>
      <c r="H68" s="124"/>
      <c r="I68" s="124"/>
      <c r="V68" s="112" t="s">
        <v>18</v>
      </c>
      <c r="W68" s="113">
        <f>(COUNTIFS($A$2:$A$15,$W66,$B$2:$B$15,$X66,$C$2:$C$15,$Y66,$D$2:$D$15,$Z66,$E$2:$E$15,$AA66))/COUNTIFS($A$2:$A$15,$W66,$B$2:$B$15,$X66,$C$2:$C$15,$Y66,$D$2:$D$15,$Z66)</f>
        <v>0</v>
      </c>
      <c r="X68" s="99"/>
      <c r="Y68" s="99"/>
      <c r="Z68" s="99"/>
      <c r="AA68" s="99"/>
    </row>
    <row r="69" spans="6:27" x14ac:dyDescent="0.3">
      <c r="F69" s="124" t="s">
        <v>18</v>
      </c>
      <c r="G69" s="124">
        <f>(COUNTIFS($D$2:$D$15,$G67,$E$2:$E$15,$I67))/COUNTIFS($D$2:$D$15,$G67)</f>
        <v>0.5</v>
      </c>
      <c r="H69" s="124"/>
      <c r="I69" s="124"/>
    </row>
    <row r="70" spans="6:27" x14ac:dyDescent="0.3">
      <c r="F70" s="124"/>
      <c r="G70" s="124"/>
      <c r="H70" s="124"/>
      <c r="I70" s="124"/>
      <c r="V70" s="99"/>
      <c r="W70" s="99" t="s">
        <v>39</v>
      </c>
      <c r="X70" s="99" t="s">
        <v>15</v>
      </c>
      <c r="Y70" s="99" t="s">
        <v>13</v>
      </c>
      <c r="Z70" s="99" t="s">
        <v>188</v>
      </c>
      <c r="AA70" s="99" t="s">
        <v>19</v>
      </c>
    </row>
    <row r="71" spans="6:27" x14ac:dyDescent="0.3">
      <c r="F71" s="124"/>
      <c r="G71" s="124" t="s">
        <v>187</v>
      </c>
      <c r="H71" s="124"/>
      <c r="I71" s="124" t="s">
        <v>25</v>
      </c>
      <c r="V71" s="112" t="s">
        <v>17</v>
      </c>
      <c r="W71" s="113">
        <f>(COUNTIFS($A$2:$A$15,$W70,$B$2:$B$15,$X70,$C$2:$C$15,$Y70,$D$2:$D$15,$Z70,$E$2:$E$15,$AA70))/COUNTA($A$2:$A$15)</f>
        <v>7.1428571428571425E-2</v>
      </c>
      <c r="X71" s="99"/>
      <c r="Y71" s="99"/>
      <c r="Z71" s="99"/>
      <c r="AA71" s="99"/>
    </row>
    <row r="72" spans="6:27" x14ac:dyDescent="0.3">
      <c r="F72" s="124" t="s">
        <v>17</v>
      </c>
      <c r="G72" s="125">
        <f>(COUNTIFS($D$2:$D$15,$G71,$E$2:$E$15,$I71))/COUNTA($D$2:$D$15)</f>
        <v>0.21428571428571427</v>
      </c>
      <c r="H72" s="124"/>
      <c r="I72" s="124"/>
      <c r="V72" s="112" t="s">
        <v>18</v>
      </c>
      <c r="W72" s="113">
        <f>(COUNTIFS($A$2:$A$15,$W70,$B$2:$B$15,$X70,$C$2:$C$15,$Y70,$D$2:$D$15,$Z70,$E$2:$E$15,$AA70))/COUNTIFS($A$2:$A$15,$W70,$B$2:$B$15,$X70,$C$2:$C$15,$Y70,$D$2:$D$15,$Z70)</f>
        <v>1</v>
      </c>
      <c r="X72" s="99"/>
      <c r="Y72" s="99"/>
      <c r="Z72" s="99"/>
      <c r="AA72" s="99"/>
    </row>
    <row r="73" spans="6:27" x14ac:dyDescent="0.3">
      <c r="F73" s="124" t="s">
        <v>18</v>
      </c>
      <c r="G73" s="124">
        <f>(COUNTIFS($D$2:$D$15,$G71,$E$2:$E$15,$I71))/COUNTIFS($D$2:$D$15,$G71)</f>
        <v>0.5</v>
      </c>
      <c r="H73" s="124"/>
      <c r="I73" s="124"/>
    </row>
    <row r="74" spans="6:27" x14ac:dyDescent="0.3">
      <c r="F74" s="124"/>
      <c r="G74" s="124"/>
      <c r="H74" s="124"/>
      <c r="I74" s="124"/>
      <c r="V74" s="99"/>
      <c r="W74" s="99" t="s">
        <v>39</v>
      </c>
      <c r="X74" s="99" t="s">
        <v>15</v>
      </c>
      <c r="Y74" s="99" t="s">
        <v>13</v>
      </c>
      <c r="Z74" s="99" t="s">
        <v>10</v>
      </c>
      <c r="AA74" s="99" t="s">
        <v>19</v>
      </c>
    </row>
    <row r="75" spans="6:27" x14ac:dyDescent="0.3">
      <c r="F75" s="124"/>
      <c r="G75" s="124" t="s">
        <v>188</v>
      </c>
      <c r="H75" s="124"/>
      <c r="I75" s="124" t="s">
        <v>19</v>
      </c>
      <c r="V75" s="112" t="s">
        <v>17</v>
      </c>
      <c r="W75" s="113">
        <f>(COUNTIFS($A$2:$A$15,$W74,$B$2:$B$15,$X74,$C$2:$C$15,$Y74,$D$2:$D$15,$Z74,$E$2:$E$15,$AA74))/COUNTA($A$2:$A$15)</f>
        <v>0</v>
      </c>
      <c r="X75" s="99"/>
      <c r="Y75" s="99"/>
      <c r="Z75" s="99"/>
      <c r="AA75" s="99"/>
    </row>
    <row r="76" spans="6:27" x14ac:dyDescent="0.3">
      <c r="F76" s="124" t="s">
        <v>17</v>
      </c>
      <c r="G76" s="125">
        <f>(COUNTIFS($D$2:$D$15,$G75,$E$2:$E$15,$I75))/COUNTA($D$2:$D$15)</f>
        <v>0.42857142857142855</v>
      </c>
      <c r="H76" s="124"/>
      <c r="I76" s="124"/>
      <c r="V76" s="112" t="s">
        <v>18</v>
      </c>
      <c r="W76" s="113">
        <f>(COUNTIFS($A$2:$A$15,$W74,$B$2:$B$15,$X74,$C$2:$C$15,$Y74,$D$2:$D$15,$Z74,$E$2:$E$15,$AA74))/COUNTIFS($A$2:$A$15,$W74,$B$2:$B$15,$X74,$C$2:$C$15,$Y74,$D$2:$D$15,$Z74)</f>
        <v>0</v>
      </c>
      <c r="X76" s="99"/>
      <c r="Y76" s="99"/>
      <c r="Z76" s="99"/>
      <c r="AA76" s="99"/>
    </row>
    <row r="77" spans="6:27" x14ac:dyDescent="0.3">
      <c r="F77" s="124" t="s">
        <v>18</v>
      </c>
      <c r="G77" s="124">
        <f>(COUNTIFS($D$2:$D$15,$G75,$E$2:$E$15,$I75))/COUNTIFS($D$2:$D$15,$G75)</f>
        <v>0.75</v>
      </c>
      <c r="H77" s="124"/>
      <c r="I77" s="124"/>
    </row>
    <row r="78" spans="6:27" x14ac:dyDescent="0.3">
      <c r="F78" s="124"/>
      <c r="G78" s="124"/>
      <c r="H78" s="124"/>
      <c r="I78" s="124"/>
      <c r="V78" s="99"/>
      <c r="W78" s="99" t="s">
        <v>39</v>
      </c>
      <c r="X78" s="99" t="s">
        <v>13</v>
      </c>
      <c r="Y78" s="99" t="s">
        <v>13</v>
      </c>
      <c r="Z78" s="99" t="s">
        <v>10</v>
      </c>
      <c r="AA78" s="99" t="s">
        <v>19</v>
      </c>
    </row>
    <row r="79" spans="6:27" x14ac:dyDescent="0.3">
      <c r="F79" s="124"/>
      <c r="G79" s="124" t="s">
        <v>188</v>
      </c>
      <c r="H79" s="124"/>
      <c r="I79" s="124" t="s">
        <v>25</v>
      </c>
      <c r="V79" s="112" t="s">
        <v>17</v>
      </c>
      <c r="W79" s="113">
        <f>(COUNTIFS($A$2:$A$15,$W78,$B$2:$B$15,$X78,$C$2:$C$15,$Y78,$D$2:$D$15,$Z78,$E$2:$E$15,$AA78))/COUNTA($A$2:$A$15)</f>
        <v>0</v>
      </c>
      <c r="X79" s="99"/>
      <c r="Y79" s="99"/>
      <c r="Z79" s="99"/>
      <c r="AA79" s="99"/>
    </row>
    <row r="80" spans="6:27" x14ac:dyDescent="0.3">
      <c r="F80" s="124" t="s">
        <v>17</v>
      </c>
      <c r="G80" s="125">
        <f>(COUNTIFS($D$2:$D$15,$G79,$E$2:$E$15,$I79))/COUNTA($D$2:$D$15)</f>
        <v>0.14285714285714285</v>
      </c>
      <c r="H80" s="124"/>
      <c r="I80" s="124"/>
      <c r="V80" s="112" t="s">
        <v>18</v>
      </c>
      <c r="W80" s="113" t="e">
        <f>(COUNTIFS($A$2:$A$15,$W78,$B$2:$B$15,$X78,$C$2:$C$15,$Y78,$D$2:$D$15,$Z78,$E$2:$E$15,$AA78))/COUNTIFS($A$2:$A$15,$W78,$B$2:$B$15,$X78,$C$2:$C$15,$Y78,$D$2:$D$15,$Z78)</f>
        <v>#DIV/0!</v>
      </c>
      <c r="X80" s="99"/>
      <c r="Y80" s="99"/>
      <c r="Z80" s="99"/>
      <c r="AA80" s="99"/>
    </row>
    <row r="81" spans="6:27" x14ac:dyDescent="0.3">
      <c r="F81" s="124" t="s">
        <v>18</v>
      </c>
      <c r="G81" s="124">
        <f>(COUNTIFS($D$2:$D$15,$G79,$E$2:$E$15,$I79))/COUNTIFS($D$2:$D$15,$G79)</f>
        <v>0.25</v>
      </c>
      <c r="H81" s="124"/>
      <c r="I81" s="124"/>
    </row>
    <row r="82" spans="6:27" x14ac:dyDescent="0.3">
      <c r="V82" s="99"/>
      <c r="W82" s="99" t="s">
        <v>39</v>
      </c>
      <c r="X82" s="99" t="s">
        <v>15</v>
      </c>
      <c r="Y82" s="99" t="s">
        <v>16</v>
      </c>
      <c r="Z82" s="99" t="s">
        <v>187</v>
      </c>
      <c r="AA82" s="99" t="s">
        <v>25</v>
      </c>
    </row>
    <row r="83" spans="6:27" x14ac:dyDescent="0.3">
      <c r="V83" s="112" t="s">
        <v>17</v>
      </c>
      <c r="W83" s="113">
        <f>(COUNTIFS($A$2:$A$15,$W82,$B$2:$B$15,$X82,$C$2:$C$15,$Y82,$D$2:$D$15,$Z82,$E$2:$E$15,$AA82))/COUNTA($A$2:$A$15)</f>
        <v>7.1428571428571425E-2</v>
      </c>
      <c r="X83" s="99"/>
      <c r="Y83" s="99"/>
      <c r="Z83" s="99"/>
      <c r="AA83" s="99"/>
    </row>
    <row r="84" spans="6:27" x14ac:dyDescent="0.3">
      <c r="V84" s="112" t="s">
        <v>18</v>
      </c>
      <c r="W84" s="113">
        <f>(COUNTIFS($A$2:$A$15,$W82,$B$2:$B$15,$X82,$C$2:$C$15,$Y82,$D$2:$D$15,$Z82,$E$2:$E$15,$AA82))/COUNTIFS($A$2:$A$15,$W82,$B$2:$B$15,$X82,$C$2:$C$15,$Y82,$D$2:$D$15,$Z82)</f>
        <v>1</v>
      </c>
      <c r="X84" s="99"/>
      <c r="Y84" s="99"/>
      <c r="Z84" s="99"/>
      <c r="AA84" s="99"/>
    </row>
    <row r="86" spans="6:27" x14ac:dyDescent="0.3">
      <c r="V86" s="99"/>
      <c r="W86" s="99" t="s">
        <v>39</v>
      </c>
      <c r="X86" s="99" t="s">
        <v>15</v>
      </c>
      <c r="Y86" s="99" t="s">
        <v>13</v>
      </c>
      <c r="Z86" s="99" t="s">
        <v>10</v>
      </c>
      <c r="AA86" s="99" t="s">
        <v>25</v>
      </c>
    </row>
    <row r="87" spans="6:27" x14ac:dyDescent="0.3">
      <c r="V87" s="112" t="s">
        <v>17</v>
      </c>
      <c r="W87" s="113">
        <f>(COUNTIFS($A$2:$A$15,$W86,$B$2:$B$15,$X86,$C$2:$C$15,$Y86,$D$2:$D$15,$Z86,$E$2:$E$15,$AA86))/COUNTA($A$2:$A$15)</f>
        <v>7.1428571428571425E-2</v>
      </c>
      <c r="X87" s="99"/>
      <c r="Y87" s="99"/>
      <c r="Z87" s="99"/>
      <c r="AA87" s="99"/>
    </row>
    <row r="88" spans="6:27" x14ac:dyDescent="0.3">
      <c r="V88" s="112" t="s">
        <v>18</v>
      </c>
      <c r="W88" s="113">
        <f>(COUNTIFS($A$2:$A$15,$W86,$B$2:$B$15,$X86,$C$2:$C$15,$Y86,$D$2:$D$15,$Z86,$E$2:$E$15,$AA86))/COUNTIFS($A$2:$A$15,$W86,$B$2:$B$15,$X86,$C$2:$C$15,$Y86,$D$2:$D$15,$Z86)</f>
        <v>1</v>
      </c>
      <c r="X88" s="99"/>
      <c r="Y88" s="99"/>
      <c r="Z88" s="99"/>
      <c r="AA88" s="99"/>
    </row>
    <row r="90" spans="6:27" x14ac:dyDescent="0.3">
      <c r="J90" s="126"/>
      <c r="K90" s="74"/>
      <c r="V90" s="99"/>
      <c r="W90" s="99" t="s">
        <v>39</v>
      </c>
      <c r="X90" s="99" t="s">
        <v>15</v>
      </c>
      <c r="Y90" s="99" t="s">
        <v>13</v>
      </c>
      <c r="Z90" s="99" t="s">
        <v>9</v>
      </c>
      <c r="AA90" s="99" t="s">
        <v>25</v>
      </c>
    </row>
    <row r="91" spans="6:27" x14ac:dyDescent="0.3">
      <c r="J91" s="126"/>
      <c r="K91" s="74"/>
      <c r="V91" s="112" t="s">
        <v>17</v>
      </c>
      <c r="W91" s="113">
        <f>(COUNTIFS($A$2:$A$15,$W90,$B$2:$B$15,$X90,$C$2:$C$15,$Y90,$D$2:$D$15,$Z90,$E$2:$E$15,$AA90))/COUNTA($A$2:$A$15)</f>
        <v>0</v>
      </c>
      <c r="X91" s="99"/>
      <c r="Y91" s="99"/>
      <c r="Z91" s="99"/>
      <c r="AA91" s="99"/>
    </row>
    <row r="92" spans="6:27" x14ac:dyDescent="0.3">
      <c r="J92" s="74"/>
      <c r="K92" s="74"/>
      <c r="V92" s="112" t="s">
        <v>18</v>
      </c>
      <c r="W92" s="113">
        <f>(COUNTIFS($A$2:$A$15,$W90,$B$2:$B$15,$X90,$C$2:$C$15,$Y90,$D$2:$D$15,$Z90,$E$2:$E$15,$AA90))/COUNTIFS($A$2:$A$15,$W90,$B$2:$B$15,$X90,$C$2:$C$15,$Y90,$D$2:$D$15,$Z90)</f>
        <v>0</v>
      </c>
      <c r="X92" s="99"/>
      <c r="Y92" s="99"/>
      <c r="Z92" s="99"/>
      <c r="AA92" s="99"/>
    </row>
    <row r="93" spans="6:27" x14ac:dyDescent="0.3">
      <c r="J93" s="74"/>
      <c r="K93" s="74"/>
    </row>
    <row r="94" spans="6:27" x14ac:dyDescent="0.3">
      <c r="V94" s="99"/>
      <c r="W94" s="99" t="s">
        <v>39</v>
      </c>
      <c r="X94" s="99" t="s">
        <v>13</v>
      </c>
      <c r="Y94" s="99" t="s">
        <v>13</v>
      </c>
      <c r="Z94" s="99" t="s">
        <v>10</v>
      </c>
      <c r="AA94" s="99" t="s">
        <v>25</v>
      </c>
    </row>
    <row r="95" spans="6:27" x14ac:dyDescent="0.3">
      <c r="V95" s="112" t="s">
        <v>17</v>
      </c>
      <c r="W95" s="113">
        <f>(COUNTIFS($A$2:$A$15,$W94,$B$2:$B$15,$X94,$C$2:$C$15,$Y94,$D$2:$D$15,$Z94,$E$2:$E$15,$AA94))/COUNTA($A$2:$A$15)</f>
        <v>0</v>
      </c>
      <c r="X95" s="99"/>
      <c r="Y95" s="99"/>
      <c r="Z95" s="99"/>
      <c r="AA95" s="99"/>
    </row>
    <row r="96" spans="6:27" x14ac:dyDescent="0.3">
      <c r="V96" s="112" t="s">
        <v>18</v>
      </c>
      <c r="W96" s="113" t="e">
        <f>(COUNTIFS($A$2:$A$15,$W94,$B$2:$B$15,$X94,$C$2:$C$15,$Y94,$D$2:$D$15,$Z94,$E$2:$E$15,$AA94))/COUNTIFS($A$2:$A$15,$W94,$B$2:$B$15,$X94,$C$2:$C$15,$Y94,$D$2:$D$15,$Z94)</f>
        <v>#DIV/0!</v>
      </c>
      <c r="X96" s="99"/>
      <c r="Y96" s="99"/>
      <c r="Z96" s="99"/>
      <c r="AA96" s="99"/>
    </row>
  </sheetData>
  <mergeCells count="4">
    <mergeCell ref="F1:I1"/>
    <mergeCell ref="K1:N1"/>
    <mergeCell ref="P1:T1"/>
    <mergeCell ref="V1:AA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E65"/>
  <sheetViews>
    <sheetView zoomScale="66" zoomScaleNormal="66" workbookViewId="0">
      <selection activeCell="N9" sqref="N9"/>
    </sheetView>
  </sheetViews>
  <sheetFormatPr baseColWidth="10" defaultRowHeight="16.5" x14ac:dyDescent="0.3"/>
  <cols>
    <col min="1" max="1" width="7.625" customWidth="1"/>
    <col min="4" max="4" width="16.5" customWidth="1"/>
    <col min="5" max="5" width="12.625" bestFit="1" customWidth="1"/>
    <col min="7" max="7" width="19.375" customWidth="1"/>
    <col min="10" max="10" width="3" customWidth="1"/>
    <col min="12" max="12" width="3.875" customWidth="1"/>
  </cols>
  <sheetData>
    <row r="1" spans="1:22" ht="18.75" x14ac:dyDescent="0.3">
      <c r="A1" s="24" t="s">
        <v>76</v>
      </c>
    </row>
    <row r="2" spans="1:22" s="33" customFormat="1" ht="14.25" x14ac:dyDescent="0.2">
      <c r="A2" s="143" t="s">
        <v>77</v>
      </c>
      <c r="B2" s="143"/>
      <c r="C2" s="143"/>
      <c r="D2" s="143"/>
      <c r="E2" s="143"/>
      <c r="F2" s="143"/>
      <c r="G2" s="143"/>
      <c r="H2" s="143"/>
      <c r="I2" s="143"/>
      <c r="J2" s="143"/>
      <c r="K2" s="143"/>
      <c r="L2" s="143"/>
      <c r="M2" s="143"/>
      <c r="N2" s="143"/>
      <c r="O2" s="143"/>
      <c r="P2" s="143"/>
      <c r="Q2" s="143"/>
      <c r="R2" s="143"/>
      <c r="S2" s="143"/>
    </row>
    <row r="3" spans="1:22" s="33" customFormat="1" ht="14.25" x14ac:dyDescent="0.2">
      <c r="A3" s="143"/>
      <c r="B3" s="143"/>
      <c r="C3" s="143"/>
      <c r="D3" s="143"/>
      <c r="E3" s="143"/>
      <c r="F3" s="143"/>
      <c r="G3" s="143"/>
      <c r="H3" s="143"/>
      <c r="I3" s="143"/>
      <c r="J3" s="143"/>
      <c r="K3" s="143"/>
      <c r="L3" s="143"/>
      <c r="M3" s="143"/>
      <c r="N3" s="143"/>
      <c r="O3" s="143"/>
      <c r="P3" s="143"/>
      <c r="Q3" s="143"/>
      <c r="R3" s="143"/>
      <c r="S3" s="143"/>
    </row>
    <row r="4" spans="1:22" s="33" customFormat="1" ht="14.25" x14ac:dyDescent="0.2">
      <c r="C4" s="34"/>
      <c r="D4" s="34"/>
      <c r="E4" s="34"/>
      <c r="F4" s="34"/>
      <c r="J4" s="34"/>
      <c r="K4" s="34"/>
      <c r="L4" s="34"/>
      <c r="M4" s="34"/>
    </row>
    <row r="5" spans="1:22" s="33" customFormat="1" ht="14.25" x14ac:dyDescent="0.2">
      <c r="C5" s="34"/>
      <c r="D5" s="34"/>
      <c r="E5" s="34"/>
      <c r="F5" s="34"/>
      <c r="J5" s="34"/>
      <c r="K5" s="34"/>
      <c r="L5" s="34"/>
      <c r="M5" s="34"/>
    </row>
    <row r="6" spans="1:22" ht="19.5" x14ac:dyDescent="0.3">
      <c r="A6" s="144" t="s">
        <v>30</v>
      </c>
      <c r="B6" s="144"/>
      <c r="O6" s="145" t="s">
        <v>79</v>
      </c>
      <c r="P6" s="145"/>
      <c r="Q6" s="145"/>
      <c r="R6" s="145"/>
      <c r="S6" s="145"/>
      <c r="T6" s="145"/>
      <c r="U6" s="145"/>
      <c r="V6" s="145"/>
    </row>
    <row r="7" spans="1:22" x14ac:dyDescent="0.3">
      <c r="A7" s="38" t="s">
        <v>20</v>
      </c>
      <c r="B7" s="38" t="s">
        <v>21</v>
      </c>
      <c r="C7" s="38" t="s">
        <v>22</v>
      </c>
      <c r="D7" s="38" t="s">
        <v>78</v>
      </c>
      <c r="E7" s="38" t="s">
        <v>23</v>
      </c>
      <c r="F7" s="38" t="s">
        <v>27</v>
      </c>
      <c r="G7" s="38" t="s">
        <v>28</v>
      </c>
      <c r="I7" s="38" t="s">
        <v>24</v>
      </c>
      <c r="O7" s="145"/>
      <c r="P7" s="145"/>
      <c r="Q7" s="145"/>
      <c r="R7" s="145"/>
      <c r="S7" s="145"/>
      <c r="T7" s="145"/>
      <c r="U7" s="145"/>
      <c r="V7" s="145"/>
    </row>
    <row r="8" spans="1:22" ht="18.75" x14ac:dyDescent="0.3">
      <c r="A8" s="27" t="s">
        <v>19</v>
      </c>
      <c r="B8" s="36">
        <f>9/14</f>
        <v>0.6428571428571429</v>
      </c>
      <c r="C8" s="36">
        <f>1/B8</f>
        <v>1.5555555555555554</v>
      </c>
      <c r="D8" s="37">
        <f>LOG(C8,2)</f>
        <v>0.63742992061529158</v>
      </c>
      <c r="E8" s="36">
        <f>1-B8</f>
        <v>0.3571428571428571</v>
      </c>
      <c r="F8" s="36">
        <f>1/E8</f>
        <v>2.8000000000000003</v>
      </c>
      <c r="G8" s="37">
        <f>LOG(F8,2)</f>
        <v>1.485426827170242</v>
      </c>
      <c r="H8" s="3"/>
      <c r="I8" s="35">
        <f>B8*D8+E8*G8</f>
        <v>0.94028595867063092</v>
      </c>
      <c r="O8" s="145"/>
      <c r="P8" s="145"/>
      <c r="Q8" s="145"/>
      <c r="R8" s="145"/>
      <c r="S8" s="145"/>
      <c r="T8" s="145"/>
      <c r="U8" s="145"/>
      <c r="V8" s="145"/>
    </row>
    <row r="9" spans="1:22" x14ac:dyDescent="0.3">
      <c r="A9" s="27" t="s">
        <v>25</v>
      </c>
      <c r="B9" s="36">
        <f>5/14</f>
        <v>0.35714285714285715</v>
      </c>
      <c r="C9" s="36">
        <f>1/B9</f>
        <v>2.8</v>
      </c>
      <c r="D9" s="37">
        <f>LOG(C9,2)</f>
        <v>1.4854268271702415</v>
      </c>
      <c r="E9" s="36">
        <f>1-B9</f>
        <v>0.64285714285714279</v>
      </c>
      <c r="F9" s="36">
        <f>1/E9</f>
        <v>1.5555555555555558</v>
      </c>
      <c r="G9" s="37">
        <f>LOG(F9,2)</f>
        <v>0.63742992061529202</v>
      </c>
      <c r="H9" s="3"/>
      <c r="I9" s="3"/>
    </row>
    <row r="11" spans="1:22" x14ac:dyDescent="0.3">
      <c r="A11" s="6" t="s">
        <v>6</v>
      </c>
    </row>
    <row r="12" spans="1:22" x14ac:dyDescent="0.3">
      <c r="A12" s="38" t="s">
        <v>20</v>
      </c>
      <c r="B12" s="38" t="s">
        <v>21</v>
      </c>
      <c r="C12" s="38" t="s">
        <v>22</v>
      </c>
      <c r="D12" s="38" t="s">
        <v>78</v>
      </c>
      <c r="E12" s="38" t="s">
        <v>23</v>
      </c>
      <c r="F12" s="38" t="s">
        <v>27</v>
      </c>
      <c r="G12" s="38" t="s">
        <v>28</v>
      </c>
      <c r="I12" s="38" t="s">
        <v>24</v>
      </c>
      <c r="K12" s="38" t="s">
        <v>26</v>
      </c>
      <c r="M12" s="38" t="s">
        <v>24</v>
      </c>
    </row>
    <row r="13" spans="1:22" ht="20.25" x14ac:dyDescent="0.3">
      <c r="A13" s="27" t="s">
        <v>19</v>
      </c>
      <c r="B13" s="36">
        <f>2/5</f>
        <v>0.4</v>
      </c>
      <c r="C13" s="36">
        <f>1/B13</f>
        <v>2.5</v>
      </c>
      <c r="D13" s="37">
        <f>LOG(C13,2)</f>
        <v>1.3219280948873624</v>
      </c>
      <c r="E13" s="36">
        <f>1-B13</f>
        <v>0.6</v>
      </c>
      <c r="F13" s="36">
        <f>1/E13</f>
        <v>1.6666666666666667</v>
      </c>
      <c r="G13" s="37">
        <f>LOG(F13,2)</f>
        <v>0.73696559416620622</v>
      </c>
      <c r="H13" s="3"/>
      <c r="I13" s="35">
        <f>B13*D13+E13*G13</f>
        <v>0.97095059445466869</v>
      </c>
      <c r="K13" s="3">
        <f>5/14</f>
        <v>0.35714285714285715</v>
      </c>
      <c r="M13" s="45">
        <f>(I13*K13)+(I18*K18)+(I23*K23)</f>
        <v>0.69353613889619192</v>
      </c>
    </row>
    <row r="14" spans="1:22" x14ac:dyDescent="0.3">
      <c r="A14" s="27" t="s">
        <v>25</v>
      </c>
      <c r="B14" s="36">
        <f>3/5</f>
        <v>0.6</v>
      </c>
      <c r="C14" s="36">
        <f>1/B14</f>
        <v>1.6666666666666667</v>
      </c>
      <c r="D14" s="37">
        <f>LOG(C14,2)</f>
        <v>0.73696559416620622</v>
      </c>
      <c r="E14" s="36">
        <f>1-B14</f>
        <v>0.4</v>
      </c>
      <c r="F14" s="36">
        <f>1/E14</f>
        <v>2.5</v>
      </c>
      <c r="G14" s="37">
        <f>LOG(F14,2)</f>
        <v>1.3219280948873624</v>
      </c>
      <c r="H14" s="3"/>
      <c r="I14" s="3"/>
    </row>
    <row r="16" spans="1:22" x14ac:dyDescent="0.3">
      <c r="A16" s="6" t="s">
        <v>7</v>
      </c>
    </row>
    <row r="17" spans="1:24" x14ac:dyDescent="0.3">
      <c r="A17" s="38" t="s">
        <v>20</v>
      </c>
      <c r="B17" s="38" t="s">
        <v>21</v>
      </c>
      <c r="C17" s="38" t="s">
        <v>22</v>
      </c>
      <c r="D17" s="38" t="s">
        <v>78</v>
      </c>
      <c r="E17" s="38" t="s">
        <v>23</v>
      </c>
      <c r="F17" s="38" t="s">
        <v>27</v>
      </c>
      <c r="G17" s="38" t="s">
        <v>28</v>
      </c>
      <c r="I17" s="38" t="s">
        <v>24</v>
      </c>
      <c r="K17" s="38" t="s">
        <v>29</v>
      </c>
    </row>
    <row r="18" spans="1:24" ht="18.75" x14ac:dyDescent="0.3">
      <c r="A18" s="27" t="s">
        <v>19</v>
      </c>
      <c r="B18" s="36">
        <f>4/4</f>
        <v>1</v>
      </c>
      <c r="C18" s="36">
        <f>1/B18</f>
        <v>1</v>
      </c>
      <c r="D18" s="37">
        <f>LOG(C18,2)</f>
        <v>0</v>
      </c>
      <c r="E18" s="36">
        <f>1-B18</f>
        <v>0</v>
      </c>
      <c r="F18" s="36" t="str">
        <f>IFERROR(1/E18,"")</f>
        <v/>
      </c>
      <c r="G18" s="37" t="str">
        <f>IFERROR(LOG(F18,2),"")</f>
        <v/>
      </c>
      <c r="H18" s="3"/>
      <c r="I18" s="35">
        <f>B18*D18</f>
        <v>0</v>
      </c>
      <c r="K18" s="3">
        <f>4/14</f>
        <v>0.2857142857142857</v>
      </c>
    </row>
    <row r="19" spans="1:24" x14ac:dyDescent="0.3">
      <c r="A19" s="27" t="s">
        <v>25</v>
      </c>
      <c r="B19" s="36">
        <v>0</v>
      </c>
      <c r="C19" s="36" t="str">
        <f>IFERROR(1/B19,"")</f>
        <v/>
      </c>
      <c r="D19" s="37" t="str">
        <f>IFERROR(LOG(C19,2),"")</f>
        <v/>
      </c>
      <c r="E19" s="36">
        <f>1-B19</f>
        <v>1</v>
      </c>
      <c r="F19" s="36">
        <f>1/E19</f>
        <v>1</v>
      </c>
      <c r="G19" s="37">
        <f>LOG(F19,2)</f>
        <v>0</v>
      </c>
      <c r="H19" s="3"/>
      <c r="I19" s="3"/>
    </row>
    <row r="21" spans="1:24" x14ac:dyDescent="0.3">
      <c r="A21" s="6" t="s">
        <v>8</v>
      </c>
    </row>
    <row r="22" spans="1:24" x14ac:dyDescent="0.3">
      <c r="A22" s="38" t="s">
        <v>20</v>
      </c>
      <c r="B22" s="38" t="s">
        <v>21</v>
      </c>
      <c r="C22" s="38" t="s">
        <v>22</v>
      </c>
      <c r="D22" s="38" t="s">
        <v>78</v>
      </c>
      <c r="E22" s="38" t="s">
        <v>23</v>
      </c>
      <c r="F22" s="38" t="s">
        <v>27</v>
      </c>
      <c r="G22" s="38" t="s">
        <v>28</v>
      </c>
      <c r="I22" s="38" t="s">
        <v>24</v>
      </c>
      <c r="K22" s="38" t="s">
        <v>29</v>
      </c>
    </row>
    <row r="23" spans="1:24" ht="18.75" x14ac:dyDescent="0.3">
      <c r="A23" s="27" t="s">
        <v>19</v>
      </c>
      <c r="B23" s="36">
        <f>3/5</f>
        <v>0.6</v>
      </c>
      <c r="C23" s="36">
        <f>1/B23</f>
        <v>1.6666666666666667</v>
      </c>
      <c r="D23" s="37">
        <f>LOG(C23,2)</f>
        <v>0.73696559416620622</v>
      </c>
      <c r="E23" s="36">
        <f>1-B23</f>
        <v>0.4</v>
      </c>
      <c r="F23" s="36">
        <f>IFERROR(1/E23,"")</f>
        <v>2.5</v>
      </c>
      <c r="G23" s="37">
        <f>IFERROR(LOG(F23,2),"")</f>
        <v>1.3219280948873624</v>
      </c>
      <c r="H23" s="3"/>
      <c r="I23" s="35">
        <f>B23*D23+E23*G23</f>
        <v>0.97095059445466869</v>
      </c>
      <c r="K23" s="3">
        <f>5/14</f>
        <v>0.35714285714285715</v>
      </c>
    </row>
    <row r="24" spans="1:24" x14ac:dyDescent="0.3">
      <c r="A24" s="27" t="s">
        <v>25</v>
      </c>
      <c r="B24" s="36">
        <f>2/5</f>
        <v>0.4</v>
      </c>
      <c r="C24" s="36">
        <f>IFERROR(1/B24,"")</f>
        <v>2.5</v>
      </c>
      <c r="D24" s="37">
        <f>IFERROR(LOG(C24,2),"")</f>
        <v>1.3219280948873624</v>
      </c>
      <c r="E24" s="36">
        <f>1-B24</f>
        <v>0.6</v>
      </c>
      <c r="F24" s="36">
        <f>1/E24</f>
        <v>1.6666666666666667</v>
      </c>
      <c r="G24" s="37">
        <f>LOG(F24,2)</f>
        <v>0.73696559416620622</v>
      </c>
      <c r="H24" s="3"/>
      <c r="I24" s="3"/>
    </row>
    <row r="26" spans="1:24" x14ac:dyDescent="0.3">
      <c r="A26" s="5" t="s">
        <v>31</v>
      </c>
      <c r="B26" s="5"/>
      <c r="X26" t="s">
        <v>38</v>
      </c>
    </row>
    <row r="27" spans="1:24" x14ac:dyDescent="0.3">
      <c r="A27" s="38" t="s">
        <v>20</v>
      </c>
      <c r="B27" s="38" t="s">
        <v>21</v>
      </c>
      <c r="C27" s="38" t="s">
        <v>22</v>
      </c>
      <c r="D27" s="38" t="s">
        <v>78</v>
      </c>
      <c r="E27" s="38" t="s">
        <v>23</v>
      </c>
      <c r="F27" s="38" t="s">
        <v>27</v>
      </c>
      <c r="G27" s="38" t="s">
        <v>28</v>
      </c>
      <c r="I27" s="38" t="s">
        <v>24</v>
      </c>
      <c r="K27" s="38" t="s">
        <v>26</v>
      </c>
      <c r="M27" s="38" t="s">
        <v>24</v>
      </c>
    </row>
    <row r="28" spans="1:24" ht="18.75" x14ac:dyDescent="0.3">
      <c r="A28" s="27" t="s">
        <v>19</v>
      </c>
      <c r="B28" s="3">
        <f>2/4</f>
        <v>0.5</v>
      </c>
      <c r="C28" s="3">
        <f>1/B28</f>
        <v>2</v>
      </c>
      <c r="D28" s="4">
        <f>LOG(C28,2)</f>
        <v>1</v>
      </c>
      <c r="E28" s="3">
        <f>1-B28</f>
        <v>0.5</v>
      </c>
      <c r="F28" s="3">
        <f>1/E28</f>
        <v>2</v>
      </c>
      <c r="G28" s="4">
        <f>LOG(F28,2)</f>
        <v>1</v>
      </c>
      <c r="H28" s="3"/>
      <c r="I28" s="39">
        <f>B28*D28+E28*G28</f>
        <v>1</v>
      </c>
      <c r="K28" s="3">
        <f>4/14</f>
        <v>0.2857142857142857</v>
      </c>
      <c r="M28" s="44">
        <f>(I28*K28)+(I33*K33)+(I38*K38)</f>
        <v>0.91106339301167627</v>
      </c>
    </row>
    <row r="29" spans="1:24" x14ac:dyDescent="0.3">
      <c r="A29" s="27" t="s">
        <v>25</v>
      </c>
      <c r="B29" s="3">
        <f>2/4</f>
        <v>0.5</v>
      </c>
      <c r="C29" s="3">
        <f>1/B29</f>
        <v>2</v>
      </c>
      <c r="D29" s="4">
        <f>LOG(C29,2)</f>
        <v>1</v>
      </c>
      <c r="E29" s="3">
        <f>1-B29</f>
        <v>0.5</v>
      </c>
      <c r="F29" s="3">
        <f>1/E29</f>
        <v>2</v>
      </c>
      <c r="G29" s="4">
        <f>LOG(F29,2)</f>
        <v>1</v>
      </c>
      <c r="H29" s="3"/>
      <c r="I29" s="3"/>
    </row>
    <row r="31" spans="1:24" x14ac:dyDescent="0.3">
      <c r="A31" s="5" t="s">
        <v>32</v>
      </c>
    </row>
    <row r="32" spans="1:24" x14ac:dyDescent="0.3">
      <c r="A32" s="38" t="s">
        <v>20</v>
      </c>
      <c r="B32" s="38" t="s">
        <v>21</v>
      </c>
      <c r="C32" s="38" t="s">
        <v>22</v>
      </c>
      <c r="D32" s="38" t="s">
        <v>78</v>
      </c>
      <c r="E32" s="38" t="s">
        <v>23</v>
      </c>
      <c r="F32" s="38" t="s">
        <v>27</v>
      </c>
      <c r="G32" s="38" t="s">
        <v>28</v>
      </c>
      <c r="I32" s="38" t="s">
        <v>24</v>
      </c>
      <c r="K32" s="38" t="s">
        <v>29</v>
      </c>
    </row>
    <row r="33" spans="1:13" ht="18.75" x14ac:dyDescent="0.3">
      <c r="A33" s="27" t="s">
        <v>19</v>
      </c>
      <c r="B33" s="3">
        <f>4/6</f>
        <v>0.66666666666666663</v>
      </c>
      <c r="C33" s="3">
        <f>1/B33</f>
        <v>1.5</v>
      </c>
      <c r="D33" s="4">
        <f>LOG(C33,2)</f>
        <v>0.58496250072115619</v>
      </c>
      <c r="E33" s="3">
        <f>1-B33</f>
        <v>0.33333333333333337</v>
      </c>
      <c r="F33" s="3">
        <f>IFERROR(1/E33,"")</f>
        <v>2.9999999999999996</v>
      </c>
      <c r="G33" s="4">
        <f>IFERROR(LOG(F33,2),"")</f>
        <v>1.5849625007211561</v>
      </c>
      <c r="H33" s="3"/>
      <c r="I33" s="39">
        <f>B33*D33+E33*G33</f>
        <v>0.91829583405448956</v>
      </c>
      <c r="K33" s="3">
        <f>6/14</f>
        <v>0.42857142857142855</v>
      </c>
    </row>
    <row r="34" spans="1:13" x14ac:dyDescent="0.3">
      <c r="A34" s="27" t="s">
        <v>25</v>
      </c>
      <c r="B34" s="3">
        <f>2/6</f>
        <v>0.33333333333333331</v>
      </c>
      <c r="C34" s="3">
        <f>IFERROR(1/B34,"")</f>
        <v>3</v>
      </c>
      <c r="D34" s="4">
        <f>IFERROR(LOG(C34,2),"")</f>
        <v>1.5849625007211563</v>
      </c>
      <c r="E34" s="3">
        <f>1-B34</f>
        <v>0.66666666666666674</v>
      </c>
      <c r="F34" s="3">
        <f>1/E34</f>
        <v>1.4999999999999998</v>
      </c>
      <c r="G34" s="4">
        <f>LOG(F34,2)</f>
        <v>0.58496250072115596</v>
      </c>
      <c r="H34" s="3"/>
      <c r="I34" s="3"/>
    </row>
    <row r="36" spans="1:13" x14ac:dyDescent="0.3">
      <c r="A36" s="5" t="s">
        <v>33</v>
      </c>
    </row>
    <row r="37" spans="1:13" x14ac:dyDescent="0.3">
      <c r="A37" s="38" t="s">
        <v>20</v>
      </c>
      <c r="B37" s="38" t="s">
        <v>21</v>
      </c>
      <c r="C37" s="38" t="s">
        <v>22</v>
      </c>
      <c r="D37" s="38" t="s">
        <v>78</v>
      </c>
      <c r="E37" s="38" t="s">
        <v>23</v>
      </c>
      <c r="F37" s="38" t="s">
        <v>27</v>
      </c>
      <c r="G37" s="38" t="s">
        <v>28</v>
      </c>
      <c r="I37" s="38" t="s">
        <v>24</v>
      </c>
      <c r="K37" s="38" t="s">
        <v>29</v>
      </c>
    </row>
    <row r="38" spans="1:13" ht="18.75" x14ac:dyDescent="0.3">
      <c r="A38" s="27" t="s">
        <v>19</v>
      </c>
      <c r="B38" s="3">
        <f>3/4</f>
        <v>0.75</v>
      </c>
      <c r="C38" s="3">
        <f>1/B38</f>
        <v>1.3333333333333333</v>
      </c>
      <c r="D38" s="4">
        <f>LOG(C38,2)</f>
        <v>0.4150374992788437</v>
      </c>
      <c r="E38" s="3">
        <f>1-B38</f>
        <v>0.25</v>
      </c>
      <c r="F38" s="3">
        <f>IFERROR(1/E38,"")</f>
        <v>4</v>
      </c>
      <c r="G38" s="4">
        <f>IFERROR(LOG(F38,2),"")</f>
        <v>2</v>
      </c>
      <c r="H38" s="3"/>
      <c r="I38" s="39">
        <f>B38*D38+E38*G38</f>
        <v>0.81127812445913272</v>
      </c>
      <c r="K38" s="3">
        <f>4/14</f>
        <v>0.2857142857142857</v>
      </c>
    </row>
    <row r="39" spans="1:13" x14ac:dyDescent="0.3">
      <c r="A39" s="27" t="s">
        <v>25</v>
      </c>
      <c r="B39" s="3">
        <f>1/4</f>
        <v>0.25</v>
      </c>
      <c r="C39" s="3">
        <f>IFERROR(1/B39,"")</f>
        <v>4</v>
      </c>
      <c r="D39" s="4">
        <f>IFERROR(LOG(C39,2),"")</f>
        <v>2</v>
      </c>
      <c r="E39" s="3">
        <f>1-B39</f>
        <v>0.75</v>
      </c>
      <c r="F39" s="3">
        <f>1/E39</f>
        <v>1.3333333333333333</v>
      </c>
      <c r="G39" s="4">
        <f>LOG(F39,2)</f>
        <v>0.4150374992788437</v>
      </c>
      <c r="H39" s="3"/>
      <c r="I39" s="3"/>
    </row>
    <row r="41" spans="1:13" x14ac:dyDescent="0.3">
      <c r="A41" s="7" t="s">
        <v>34</v>
      </c>
      <c r="B41" s="5"/>
    </row>
    <row r="42" spans="1:13" x14ac:dyDescent="0.3">
      <c r="A42" s="38" t="s">
        <v>20</v>
      </c>
      <c r="B42" s="38" t="s">
        <v>21</v>
      </c>
      <c r="C42" s="38" t="s">
        <v>22</v>
      </c>
      <c r="D42" s="38" t="s">
        <v>78</v>
      </c>
      <c r="E42" s="38" t="s">
        <v>23</v>
      </c>
      <c r="F42" s="38" t="s">
        <v>27</v>
      </c>
      <c r="G42" s="38" t="s">
        <v>28</v>
      </c>
      <c r="I42" s="38" t="s">
        <v>24</v>
      </c>
      <c r="K42" s="38" t="s">
        <v>26</v>
      </c>
      <c r="M42" s="38" t="s">
        <v>24</v>
      </c>
    </row>
    <row r="43" spans="1:13" ht="20.25" x14ac:dyDescent="0.3">
      <c r="A43" s="27" t="s">
        <v>19</v>
      </c>
      <c r="B43" s="3">
        <f>4/8</f>
        <v>0.5</v>
      </c>
      <c r="C43" s="3">
        <f>1/B43</f>
        <v>2</v>
      </c>
      <c r="D43" s="8">
        <f>LOG(C43,2)</f>
        <v>1</v>
      </c>
      <c r="E43" s="3">
        <f>1-B43</f>
        <v>0.5</v>
      </c>
      <c r="F43" s="3">
        <f>1/E43</f>
        <v>2</v>
      </c>
      <c r="G43" s="8">
        <f>LOG(F43,2)</f>
        <v>1</v>
      </c>
      <c r="H43" s="3"/>
      <c r="I43" s="41">
        <f>B43*D43+E43*G43</f>
        <v>1</v>
      </c>
      <c r="K43" s="3">
        <f>8/14</f>
        <v>0.5714285714285714</v>
      </c>
      <c r="M43" s="43">
        <f>(I43*K43)+(I48*K48)</f>
        <v>0.85000960927786606</v>
      </c>
    </row>
    <row r="44" spans="1:13" x14ac:dyDescent="0.3">
      <c r="A44" s="27" t="s">
        <v>25</v>
      </c>
      <c r="B44" s="3">
        <f>4/8</f>
        <v>0.5</v>
      </c>
      <c r="C44" s="3">
        <f>1/B44</f>
        <v>2</v>
      </c>
      <c r="D44" s="8">
        <f>LOG(C44,2)</f>
        <v>1</v>
      </c>
      <c r="E44" s="3">
        <f>1-B44</f>
        <v>0.5</v>
      </c>
      <c r="F44" s="3">
        <f>1/E44</f>
        <v>2</v>
      </c>
      <c r="G44" s="8">
        <f>LOG(F44,2)</f>
        <v>1</v>
      </c>
      <c r="H44" s="3"/>
      <c r="I44" s="3"/>
    </row>
    <row r="46" spans="1:13" x14ac:dyDescent="0.3">
      <c r="A46" s="7" t="s">
        <v>35</v>
      </c>
    </row>
    <row r="47" spans="1:13" x14ac:dyDescent="0.3">
      <c r="A47" s="38" t="s">
        <v>20</v>
      </c>
      <c r="B47" s="38" t="s">
        <v>21</v>
      </c>
      <c r="C47" s="38" t="s">
        <v>22</v>
      </c>
      <c r="D47" s="38" t="s">
        <v>78</v>
      </c>
      <c r="E47" s="38" t="s">
        <v>23</v>
      </c>
      <c r="F47" s="38" t="s">
        <v>27</v>
      </c>
      <c r="G47" s="38" t="s">
        <v>28</v>
      </c>
      <c r="I47" s="38" t="s">
        <v>24</v>
      </c>
      <c r="K47" s="38" t="s">
        <v>29</v>
      </c>
    </row>
    <row r="48" spans="1:13" ht="18.75" x14ac:dyDescent="0.3">
      <c r="A48" s="27" t="s">
        <v>19</v>
      </c>
      <c r="B48" s="3">
        <f>5/6</f>
        <v>0.83333333333333337</v>
      </c>
      <c r="C48" s="3">
        <f>1/B48</f>
        <v>1.2</v>
      </c>
      <c r="D48" s="8">
        <f>LOG(C48,2)</f>
        <v>0.26303440583379378</v>
      </c>
      <c r="E48" s="3">
        <f>1-B48</f>
        <v>0.16666666666666663</v>
      </c>
      <c r="F48" s="3">
        <f>IFERROR(1/E48,"")</f>
        <v>6.0000000000000018</v>
      </c>
      <c r="G48" s="8">
        <f>IFERROR(LOG(F48,2),"")</f>
        <v>2.584962500721157</v>
      </c>
      <c r="H48" s="3"/>
      <c r="I48" s="41">
        <f>B48*D48+E48*G48</f>
        <v>0.65002242164835422</v>
      </c>
      <c r="K48" s="3">
        <f>6/14</f>
        <v>0.42857142857142855</v>
      </c>
    </row>
    <row r="49" spans="1:31" x14ac:dyDescent="0.3">
      <c r="A49" s="27" t="s">
        <v>25</v>
      </c>
      <c r="B49" s="3">
        <f>1/6</f>
        <v>0.16666666666666666</v>
      </c>
      <c r="C49" s="3">
        <f>IFERROR(1/B49,"")</f>
        <v>6</v>
      </c>
      <c r="D49" s="8">
        <f>IFERROR(LOG(C49,2),"")</f>
        <v>2.5849625007211561</v>
      </c>
      <c r="E49" s="3">
        <f>1-B49</f>
        <v>0.83333333333333337</v>
      </c>
      <c r="F49" s="3">
        <f>1/E49</f>
        <v>1.2</v>
      </c>
      <c r="G49" s="8">
        <f>LOG(F49,2)</f>
        <v>0.26303440583379378</v>
      </c>
      <c r="H49" s="3"/>
      <c r="I49" s="3"/>
    </row>
    <row r="51" spans="1:31" x14ac:dyDescent="0.3">
      <c r="A51" s="9" t="s">
        <v>36</v>
      </c>
      <c r="B51" s="5"/>
    </row>
    <row r="52" spans="1:31" x14ac:dyDescent="0.3">
      <c r="A52" s="38" t="s">
        <v>20</v>
      </c>
      <c r="B52" s="38" t="s">
        <v>21</v>
      </c>
      <c r="C52" s="38" t="s">
        <v>22</v>
      </c>
      <c r="D52" s="38" t="s">
        <v>78</v>
      </c>
      <c r="E52" s="38" t="s">
        <v>23</v>
      </c>
      <c r="F52" s="38" t="s">
        <v>27</v>
      </c>
      <c r="G52" s="38" t="s">
        <v>28</v>
      </c>
      <c r="I52" s="38" t="s">
        <v>24</v>
      </c>
      <c r="K52" s="38" t="s">
        <v>26</v>
      </c>
      <c r="M52" s="38" t="s">
        <v>24</v>
      </c>
    </row>
    <row r="53" spans="1:31" ht="20.25" x14ac:dyDescent="0.3">
      <c r="A53" s="27" t="s">
        <v>19</v>
      </c>
      <c r="B53" s="3">
        <f>6/8</f>
        <v>0.75</v>
      </c>
      <c r="C53" s="3">
        <f>1/B53</f>
        <v>1.3333333333333333</v>
      </c>
      <c r="D53" s="10">
        <f>LOG(C53,2)</f>
        <v>0.4150374992788437</v>
      </c>
      <c r="E53" s="3">
        <f>1-B53</f>
        <v>0.25</v>
      </c>
      <c r="F53" s="3">
        <f>1/E53</f>
        <v>4</v>
      </c>
      <c r="G53" s="10">
        <f>LOG(F53,2)</f>
        <v>2</v>
      </c>
      <c r="H53" s="3"/>
      <c r="I53" s="40">
        <f>B53*D53+E53*G53</f>
        <v>0.81127812445913272</v>
      </c>
      <c r="K53" s="3">
        <f>8/14</f>
        <v>0.5714285714285714</v>
      </c>
      <c r="M53" s="42">
        <f>(I53*K53)+(I58*K58)</f>
        <v>0.89215892826236143</v>
      </c>
    </row>
    <row r="54" spans="1:31" x14ac:dyDescent="0.3">
      <c r="A54" s="27" t="s">
        <v>25</v>
      </c>
      <c r="B54" s="3">
        <f>2/8</f>
        <v>0.25</v>
      </c>
      <c r="C54" s="3">
        <f>1/B54</f>
        <v>4</v>
      </c>
      <c r="D54" s="10">
        <f>LOG(C54,2)</f>
        <v>2</v>
      </c>
      <c r="E54" s="3">
        <f>1-B54</f>
        <v>0.75</v>
      </c>
      <c r="F54" s="3">
        <f>1/E54</f>
        <v>1.3333333333333333</v>
      </c>
      <c r="G54" s="10">
        <f>LOG(F54,2)</f>
        <v>0.4150374992788437</v>
      </c>
      <c r="H54" s="3"/>
      <c r="I54" s="3"/>
    </row>
    <row r="56" spans="1:31" x14ac:dyDescent="0.3">
      <c r="A56" s="9" t="s">
        <v>37</v>
      </c>
    </row>
    <row r="57" spans="1:31" x14ac:dyDescent="0.3">
      <c r="A57" s="38" t="s">
        <v>20</v>
      </c>
      <c r="B57" s="38" t="s">
        <v>21</v>
      </c>
      <c r="C57" s="38" t="s">
        <v>22</v>
      </c>
      <c r="D57" s="38" t="s">
        <v>78</v>
      </c>
      <c r="E57" s="38" t="s">
        <v>23</v>
      </c>
      <c r="F57" s="38" t="s">
        <v>27</v>
      </c>
      <c r="G57" s="38" t="s">
        <v>28</v>
      </c>
      <c r="I57" s="38" t="s">
        <v>24</v>
      </c>
      <c r="K57" s="38" t="s">
        <v>29</v>
      </c>
      <c r="P57" s="25"/>
    </row>
    <row r="58" spans="1:31" ht="18.75" x14ac:dyDescent="0.3">
      <c r="A58" s="27" t="s">
        <v>19</v>
      </c>
      <c r="B58" s="3">
        <f>3/6</f>
        <v>0.5</v>
      </c>
      <c r="C58" s="3">
        <f>1/B58</f>
        <v>2</v>
      </c>
      <c r="D58" s="10">
        <f>LOG(C58,2)</f>
        <v>1</v>
      </c>
      <c r="E58" s="3">
        <f>1-B58</f>
        <v>0.5</v>
      </c>
      <c r="F58" s="3">
        <f>IFERROR(1/E58,"")</f>
        <v>2</v>
      </c>
      <c r="G58" s="10">
        <f>IFERROR(LOG(F58,2),"")</f>
        <v>1</v>
      </c>
      <c r="H58" s="3"/>
      <c r="I58" s="40">
        <f>B58*D58+E58*G58</f>
        <v>1</v>
      </c>
      <c r="K58" s="3">
        <f>6/14</f>
        <v>0.42857142857142855</v>
      </c>
    </row>
    <row r="59" spans="1:31" x14ac:dyDescent="0.3">
      <c r="A59" s="27" t="s">
        <v>25</v>
      </c>
      <c r="B59" s="3">
        <f>3/6</f>
        <v>0.5</v>
      </c>
      <c r="C59" s="3">
        <f>IFERROR(1/B59,"")</f>
        <v>2</v>
      </c>
      <c r="D59" s="10">
        <f>IFERROR(LOG(C59,2),"")</f>
        <v>1</v>
      </c>
      <c r="E59" s="3">
        <f>1-B59</f>
        <v>0.5</v>
      </c>
      <c r="F59" s="3">
        <f>1/E59</f>
        <v>2</v>
      </c>
      <c r="G59" s="10">
        <f>LOG(F59,2)</f>
        <v>1</v>
      </c>
      <c r="H59" s="3"/>
      <c r="I59" s="3"/>
      <c r="M59" s="143"/>
      <c r="N59" s="143"/>
      <c r="O59" s="143"/>
      <c r="P59" s="143"/>
      <c r="Q59" s="143"/>
      <c r="R59" s="143"/>
      <c r="S59" s="143"/>
      <c r="T59" s="143"/>
      <c r="U59" s="143"/>
      <c r="V59" s="143"/>
      <c r="W59" s="143"/>
      <c r="X59" s="143"/>
      <c r="Y59" s="143"/>
      <c r="Z59" s="143"/>
      <c r="AA59" s="143"/>
      <c r="AB59" s="143"/>
      <c r="AC59" s="143"/>
      <c r="AD59" s="143"/>
      <c r="AE59" s="143"/>
    </row>
    <row r="60" spans="1:31" x14ac:dyDescent="0.3">
      <c r="M60" s="143"/>
      <c r="N60" s="143"/>
      <c r="O60" s="143"/>
      <c r="P60" s="143"/>
      <c r="Q60" s="143"/>
      <c r="R60" s="143"/>
      <c r="S60" s="143"/>
      <c r="T60" s="143"/>
      <c r="U60" s="143"/>
      <c r="V60" s="143"/>
      <c r="W60" s="143"/>
      <c r="X60" s="143"/>
      <c r="Y60" s="143"/>
      <c r="Z60" s="143"/>
      <c r="AA60" s="143"/>
      <c r="AB60" s="143"/>
      <c r="AC60" s="143"/>
      <c r="AD60" s="143"/>
      <c r="AE60" s="143"/>
    </row>
    <row r="61" spans="1:31" x14ac:dyDescent="0.3">
      <c r="A61" s="143" t="s">
        <v>80</v>
      </c>
      <c r="B61" s="143"/>
      <c r="C61" s="143"/>
      <c r="D61" s="143"/>
      <c r="E61" s="143"/>
      <c r="F61" s="143"/>
      <c r="G61" s="143"/>
      <c r="H61" s="143"/>
      <c r="I61" s="143"/>
      <c r="J61" s="143"/>
      <c r="K61" s="143"/>
      <c r="L61" s="143"/>
      <c r="M61" s="143"/>
      <c r="N61" s="143"/>
      <c r="O61" s="143"/>
      <c r="P61" s="143"/>
      <c r="Q61" s="143"/>
      <c r="R61" s="143"/>
      <c r="S61" s="143"/>
    </row>
    <row r="62" spans="1:31" x14ac:dyDescent="0.3">
      <c r="A62" s="143"/>
      <c r="B62" s="143"/>
      <c r="C62" s="143"/>
      <c r="D62" s="143"/>
      <c r="E62" s="143"/>
      <c r="F62" s="143"/>
      <c r="G62" s="143"/>
      <c r="H62" s="143"/>
      <c r="I62" s="143"/>
      <c r="J62" s="143"/>
      <c r="K62" s="143"/>
      <c r="L62" s="143"/>
      <c r="M62" s="143"/>
      <c r="N62" s="143"/>
      <c r="O62" s="143"/>
      <c r="P62" s="143"/>
      <c r="Q62" s="143"/>
      <c r="R62" s="143"/>
      <c r="S62" s="143"/>
    </row>
    <row r="63" spans="1:31" s="23" customFormat="1" ht="20.25" x14ac:dyDescent="0.3">
      <c r="A63" s="46" t="s">
        <v>81</v>
      </c>
      <c r="B63" s="46"/>
      <c r="C63" s="46"/>
      <c r="D63" s="46"/>
      <c r="E63" s="46"/>
      <c r="F63" s="46"/>
      <c r="G63" s="47" t="s">
        <v>82</v>
      </c>
    </row>
    <row r="65" spans="1:7" s="23" customFormat="1" ht="20.25" x14ac:dyDescent="0.3">
      <c r="A65" s="46" t="s">
        <v>83</v>
      </c>
      <c r="B65" s="46"/>
      <c r="C65" s="46"/>
      <c r="D65" s="46"/>
      <c r="E65" s="46"/>
      <c r="F65" s="46"/>
      <c r="G65" s="47" t="s">
        <v>84</v>
      </c>
    </row>
  </sheetData>
  <mergeCells count="5">
    <mergeCell ref="A61:S62"/>
    <mergeCell ref="A2:S3"/>
    <mergeCell ref="A6:B6"/>
    <mergeCell ref="O6:V8"/>
    <mergeCell ref="M59:AE6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S63"/>
  <sheetViews>
    <sheetView zoomScale="70" zoomScaleNormal="70" workbookViewId="0">
      <selection activeCell="A61" sqref="A61"/>
    </sheetView>
  </sheetViews>
  <sheetFormatPr baseColWidth="10" defaultRowHeight="16.5" x14ac:dyDescent="0.3"/>
  <cols>
    <col min="1" max="1" width="12.625" customWidth="1"/>
    <col min="3" max="3" width="5.375" customWidth="1"/>
    <col min="4" max="4" width="5.25" customWidth="1"/>
    <col min="5" max="5" width="12.875" customWidth="1"/>
    <col min="6" max="6" width="3.75" customWidth="1"/>
    <col min="9" max="9" width="4.75" customWidth="1"/>
  </cols>
  <sheetData>
    <row r="1" spans="1:19" ht="18.75" x14ac:dyDescent="0.3">
      <c r="A1" s="24" t="s">
        <v>85</v>
      </c>
    </row>
    <row r="2" spans="1:19" s="33" customFormat="1" ht="14.25" customHeight="1" x14ac:dyDescent="0.2">
      <c r="A2" s="150" t="s">
        <v>86</v>
      </c>
      <c r="B2" s="150"/>
      <c r="C2" s="150"/>
      <c r="D2" s="150"/>
      <c r="E2" s="150"/>
      <c r="F2" s="150"/>
      <c r="G2" s="150"/>
      <c r="H2" s="150"/>
      <c r="I2" s="49"/>
      <c r="J2" s="49"/>
      <c r="K2" s="49"/>
      <c r="L2" s="49"/>
      <c r="M2" s="49"/>
      <c r="N2" s="49"/>
      <c r="O2" s="48"/>
      <c r="P2" s="48"/>
      <c r="Q2" s="48"/>
      <c r="R2" s="48"/>
      <c r="S2" s="48"/>
    </row>
    <row r="3" spans="1:19" s="33" customFormat="1" ht="14.25" customHeight="1" x14ac:dyDescent="0.2">
      <c r="A3" s="51"/>
      <c r="B3" s="51"/>
      <c r="C3" s="51"/>
      <c r="D3" s="51"/>
      <c r="E3" s="51"/>
      <c r="F3" s="51"/>
      <c r="G3" s="51"/>
      <c r="H3" s="51"/>
      <c r="I3" s="49"/>
      <c r="J3" s="49"/>
      <c r="K3" s="49"/>
      <c r="L3" s="49"/>
      <c r="M3" s="49"/>
      <c r="N3" s="49"/>
      <c r="O3" s="48"/>
      <c r="P3" s="48"/>
      <c r="Q3" s="48"/>
      <c r="R3" s="48"/>
      <c r="S3" s="48"/>
    </row>
    <row r="4" spans="1:19" s="33" customFormat="1" ht="15.75" customHeight="1" x14ac:dyDescent="0.2">
      <c r="A4" s="151" t="s">
        <v>87</v>
      </c>
      <c r="B4" s="151"/>
      <c r="C4" s="151"/>
      <c r="D4" s="151"/>
      <c r="E4" s="151"/>
      <c r="F4" s="151"/>
      <c r="G4" s="151"/>
      <c r="H4" s="151"/>
      <c r="I4" s="151"/>
      <c r="J4" s="151"/>
      <c r="K4" s="49"/>
      <c r="L4" s="49"/>
      <c r="M4" s="49"/>
      <c r="N4" s="49"/>
      <c r="O4" s="48"/>
      <c r="P4" s="48"/>
      <c r="Q4" s="48"/>
      <c r="R4" s="48"/>
      <c r="S4" s="48"/>
    </row>
    <row r="5" spans="1:19" x14ac:dyDescent="0.3">
      <c r="A5" s="49"/>
      <c r="B5" s="49"/>
      <c r="C5" s="49"/>
      <c r="D5" s="49"/>
      <c r="E5" s="49"/>
      <c r="F5" s="49"/>
      <c r="G5" s="49"/>
      <c r="H5" s="49"/>
      <c r="I5" s="49"/>
      <c r="J5" s="49"/>
      <c r="K5" s="49"/>
      <c r="L5" s="49"/>
      <c r="M5" s="49"/>
      <c r="N5" s="49"/>
    </row>
    <row r="7" spans="1:19" x14ac:dyDescent="0.3">
      <c r="A7" s="52" t="s">
        <v>41</v>
      </c>
      <c r="B7" t="s">
        <v>44</v>
      </c>
      <c r="C7" t="s">
        <v>39</v>
      </c>
      <c r="E7" t="s">
        <v>2</v>
      </c>
      <c r="F7">
        <v>73</v>
      </c>
      <c r="H7" t="s">
        <v>40</v>
      </c>
      <c r="I7">
        <v>83</v>
      </c>
      <c r="K7" t="s">
        <v>4</v>
      </c>
      <c r="L7" t="s">
        <v>37</v>
      </c>
    </row>
    <row r="9" spans="1:19" x14ac:dyDescent="0.3">
      <c r="A9" s="53" t="s">
        <v>42</v>
      </c>
      <c r="B9" t="s">
        <v>45</v>
      </c>
    </row>
    <row r="10" spans="1:19" ht="17.25" x14ac:dyDescent="0.3">
      <c r="A10" s="53" t="s">
        <v>42</v>
      </c>
      <c r="B10">
        <f>(3/9)</f>
        <v>0.33333333333333331</v>
      </c>
      <c r="E10">
        <f>4/9</f>
        <v>0.44444444444444442</v>
      </c>
      <c r="H10">
        <f>4/9</f>
        <v>0.44444444444444442</v>
      </c>
      <c r="J10">
        <f>3/9</f>
        <v>0.33333333333333331</v>
      </c>
      <c r="L10" s="54">
        <f>B10*E10*H10*J10</f>
        <v>2.1947873799725647E-2</v>
      </c>
    </row>
    <row r="12" spans="1:19" x14ac:dyDescent="0.3">
      <c r="A12" s="53" t="s">
        <v>46</v>
      </c>
      <c r="B12" t="s">
        <v>47</v>
      </c>
    </row>
    <row r="13" spans="1:19" ht="17.25" x14ac:dyDescent="0.3">
      <c r="A13" s="53" t="s">
        <v>46</v>
      </c>
      <c r="B13">
        <f>2/5</f>
        <v>0.4</v>
      </c>
      <c r="E13">
        <f>2/5</f>
        <v>0.4</v>
      </c>
      <c r="H13">
        <f>4/5</f>
        <v>0.8</v>
      </c>
      <c r="J13">
        <f>3/5</f>
        <v>0.6</v>
      </c>
      <c r="L13" s="54">
        <f>B13*E13*H13*J13</f>
        <v>7.6800000000000021E-2</v>
      </c>
    </row>
    <row r="14" spans="1:19" ht="17.25" thickBot="1" x14ac:dyDescent="0.35">
      <c r="L14" s="11"/>
    </row>
    <row r="15" spans="1:19" ht="17.25" thickBot="1" x14ac:dyDescent="0.35">
      <c r="B15" t="s">
        <v>88</v>
      </c>
      <c r="E15" s="147" t="s">
        <v>89</v>
      </c>
      <c r="F15" s="148"/>
      <c r="G15" s="148"/>
      <c r="H15" s="148"/>
      <c r="I15" s="148"/>
      <c r="J15" s="149"/>
      <c r="L15" s="11"/>
    </row>
    <row r="16" spans="1:19" x14ac:dyDescent="0.3">
      <c r="L16" s="11"/>
    </row>
    <row r="18" spans="1:14" x14ac:dyDescent="0.3">
      <c r="A18" s="52" t="s">
        <v>43</v>
      </c>
      <c r="B18" t="s">
        <v>44</v>
      </c>
      <c r="C18" t="s">
        <v>48</v>
      </c>
      <c r="E18" t="s">
        <v>2</v>
      </c>
      <c r="F18">
        <v>72</v>
      </c>
      <c r="H18" t="s">
        <v>40</v>
      </c>
      <c r="I18">
        <v>65</v>
      </c>
      <c r="K18" t="s">
        <v>4</v>
      </c>
      <c r="L18" t="s">
        <v>37</v>
      </c>
    </row>
    <row r="20" spans="1:14" x14ac:dyDescent="0.3">
      <c r="A20" s="53" t="s">
        <v>42</v>
      </c>
      <c r="B20" t="s">
        <v>49</v>
      </c>
    </row>
    <row r="21" spans="1:14" ht="17.25" x14ac:dyDescent="0.3">
      <c r="A21" s="53" t="s">
        <v>42</v>
      </c>
      <c r="B21">
        <f>(2/9)</f>
        <v>0.22222222222222221</v>
      </c>
      <c r="E21">
        <f>4/9</f>
        <v>0.44444444444444442</v>
      </c>
      <c r="H21">
        <f>5/9</f>
        <v>0.55555555555555558</v>
      </c>
      <c r="J21">
        <f>3/9</f>
        <v>0.33333333333333331</v>
      </c>
      <c r="L21" s="54">
        <f>B21*E21*H21*J21</f>
        <v>1.8289894833104708E-2</v>
      </c>
    </row>
    <row r="23" spans="1:14" x14ac:dyDescent="0.3">
      <c r="A23" s="53" t="s">
        <v>46</v>
      </c>
      <c r="B23" t="s">
        <v>50</v>
      </c>
    </row>
    <row r="24" spans="1:14" ht="17.25" x14ac:dyDescent="0.3">
      <c r="A24" s="53" t="s">
        <v>46</v>
      </c>
      <c r="B24">
        <f>3/5</f>
        <v>0.6</v>
      </c>
      <c r="E24">
        <f>2/5</f>
        <v>0.4</v>
      </c>
      <c r="H24">
        <f>1/5</f>
        <v>0.2</v>
      </c>
      <c r="J24">
        <f>3/5</f>
        <v>0.6</v>
      </c>
      <c r="L24" s="54">
        <f>B24*E24*H24*J24</f>
        <v>2.8799999999999999E-2</v>
      </c>
    </row>
    <row r="25" spans="1:14" ht="17.25" thickBot="1" x14ac:dyDescent="0.35"/>
    <row r="26" spans="1:14" ht="17.25" thickBot="1" x14ac:dyDescent="0.35">
      <c r="B26" t="s">
        <v>90</v>
      </c>
      <c r="E26" s="147" t="s">
        <v>89</v>
      </c>
      <c r="F26" s="148"/>
      <c r="G26" s="148"/>
      <c r="H26" s="148"/>
      <c r="I26" s="148"/>
      <c r="J26" s="149"/>
      <c r="L26" s="11"/>
    </row>
    <row r="28" spans="1:14" ht="16.5" customHeight="1" x14ac:dyDescent="0.3">
      <c r="A28" s="150" t="s">
        <v>91</v>
      </c>
      <c r="B28" s="150"/>
      <c r="C28" s="150"/>
      <c r="D28" s="150"/>
      <c r="E28" s="150"/>
      <c r="F28" s="150"/>
      <c r="G28" s="150"/>
      <c r="H28" s="150"/>
      <c r="I28" s="150"/>
      <c r="J28" s="150"/>
      <c r="K28" s="150"/>
      <c r="L28" s="150"/>
      <c r="M28" s="150"/>
      <c r="N28" s="150"/>
    </row>
    <row r="30" spans="1:14" x14ac:dyDescent="0.3">
      <c r="B30" s="146" t="s">
        <v>103</v>
      </c>
      <c r="C30" s="146"/>
      <c r="D30" s="146"/>
      <c r="E30" s="146"/>
      <c r="F30" s="146"/>
    </row>
    <row r="32" spans="1:14" ht="18.75" x14ac:dyDescent="0.3">
      <c r="A32" s="75" t="s">
        <v>104</v>
      </c>
    </row>
    <row r="33" spans="1:6" x14ac:dyDescent="0.3">
      <c r="A33" t="s">
        <v>105</v>
      </c>
    </row>
    <row r="34" spans="1:6" x14ac:dyDescent="0.3">
      <c r="A34" t="s">
        <v>106</v>
      </c>
    </row>
    <row r="35" spans="1:6" x14ac:dyDescent="0.3">
      <c r="A35" t="s">
        <v>107</v>
      </c>
    </row>
    <row r="36" spans="1:6" x14ac:dyDescent="0.3">
      <c r="A36" t="s">
        <v>108</v>
      </c>
    </row>
    <row r="37" spans="1:6" x14ac:dyDescent="0.3">
      <c r="A37" t="s">
        <v>109</v>
      </c>
    </row>
    <row r="38" spans="1:6" x14ac:dyDescent="0.3">
      <c r="A38" t="s">
        <v>116</v>
      </c>
    </row>
    <row r="39" spans="1:6" x14ac:dyDescent="0.3">
      <c r="A39" t="s">
        <v>117</v>
      </c>
    </row>
    <row r="41" spans="1:6" ht="18.75" x14ac:dyDescent="0.3">
      <c r="A41" s="75" t="s">
        <v>110</v>
      </c>
    </row>
    <row r="42" spans="1:6" x14ac:dyDescent="0.3">
      <c r="A42" t="s">
        <v>111</v>
      </c>
    </row>
    <row r="43" spans="1:6" x14ac:dyDescent="0.3">
      <c r="A43" t="s">
        <v>112</v>
      </c>
    </row>
    <row r="44" spans="1:6" x14ac:dyDescent="0.3">
      <c r="A44" t="s">
        <v>113</v>
      </c>
    </row>
    <row r="45" spans="1:6" x14ac:dyDescent="0.3">
      <c r="A45" t="s">
        <v>114</v>
      </c>
    </row>
    <row r="46" spans="1:6" x14ac:dyDescent="0.3">
      <c r="A46" t="s">
        <v>115</v>
      </c>
    </row>
    <row r="48" spans="1:6" x14ac:dyDescent="0.3">
      <c r="B48" s="146" t="s">
        <v>118</v>
      </c>
      <c r="C48" s="146"/>
      <c r="D48" s="146"/>
      <c r="E48" s="146"/>
      <c r="F48" s="146"/>
    </row>
    <row r="50" spans="1:4" ht="18.75" x14ac:dyDescent="0.3">
      <c r="A50" s="75" t="s">
        <v>104</v>
      </c>
    </row>
    <row r="51" spans="1:4" x14ac:dyDescent="0.3">
      <c r="A51" s="76" t="s">
        <v>120</v>
      </c>
    </row>
    <row r="52" spans="1:4" x14ac:dyDescent="0.3">
      <c r="A52" s="76" t="s">
        <v>121</v>
      </c>
    </row>
    <row r="53" spans="1:4" x14ac:dyDescent="0.3">
      <c r="A53" t="s">
        <v>123</v>
      </c>
    </row>
    <row r="54" spans="1:4" x14ac:dyDescent="0.3">
      <c r="A54" t="s">
        <v>122</v>
      </c>
    </row>
    <row r="55" spans="1:4" x14ac:dyDescent="0.3">
      <c r="A55" t="s">
        <v>124</v>
      </c>
    </row>
    <row r="57" spans="1:4" ht="18.75" x14ac:dyDescent="0.3">
      <c r="A57" s="75" t="s">
        <v>110</v>
      </c>
    </row>
    <row r="58" spans="1:4" x14ac:dyDescent="0.3">
      <c r="A58" s="76" t="s">
        <v>119</v>
      </c>
    </row>
    <row r="59" spans="1:4" x14ac:dyDescent="0.3">
      <c r="A59" s="76" t="s">
        <v>125</v>
      </c>
    </row>
    <row r="60" spans="1:4" ht="23.25" x14ac:dyDescent="0.3">
      <c r="A60" s="76" t="s">
        <v>126</v>
      </c>
      <c r="C60" s="77"/>
    </row>
    <row r="61" spans="1:4" ht="23.25" x14ac:dyDescent="0.3">
      <c r="D61" s="77"/>
    </row>
    <row r="62" spans="1:4" ht="23.25" x14ac:dyDescent="0.3">
      <c r="D62" s="77"/>
    </row>
    <row r="63" spans="1:4" ht="23.25" x14ac:dyDescent="0.3">
      <c r="D63" s="77"/>
    </row>
  </sheetData>
  <mergeCells count="7">
    <mergeCell ref="B30:F30"/>
    <mergeCell ref="B48:F48"/>
    <mergeCell ref="E26:J26"/>
    <mergeCell ref="A28:N28"/>
    <mergeCell ref="A2:H2"/>
    <mergeCell ref="A4:J4"/>
    <mergeCell ref="E15:J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M62"/>
  <sheetViews>
    <sheetView zoomScale="78" zoomScaleNormal="78" workbookViewId="0">
      <selection activeCell="C21" sqref="C21:D28"/>
    </sheetView>
  </sheetViews>
  <sheetFormatPr baseColWidth="10" defaultRowHeight="16.5" x14ac:dyDescent="0.3"/>
  <cols>
    <col min="6" max="6" width="7.5" customWidth="1"/>
    <col min="8" max="8" width="7.5" customWidth="1"/>
  </cols>
  <sheetData>
    <row r="1" spans="1:13" ht="18.75" x14ac:dyDescent="0.3">
      <c r="A1" s="24" t="s">
        <v>93</v>
      </c>
    </row>
    <row r="3" spans="1:13" ht="18.75" x14ac:dyDescent="0.3">
      <c r="B3" s="57" t="s">
        <v>51</v>
      </c>
      <c r="C3" s="58" t="s">
        <v>52</v>
      </c>
      <c r="D3" s="58" t="s">
        <v>53</v>
      </c>
      <c r="E3" s="58" t="s">
        <v>54</v>
      </c>
      <c r="F3" s="58" t="s">
        <v>55</v>
      </c>
    </row>
    <row r="4" spans="1:13" ht="17.25" x14ac:dyDescent="0.3">
      <c r="B4" s="59">
        <v>1</v>
      </c>
      <c r="C4" s="55" t="s">
        <v>56</v>
      </c>
      <c r="D4" s="17">
        <v>20</v>
      </c>
      <c r="E4" s="17">
        <v>0.1</v>
      </c>
      <c r="F4" s="17">
        <v>0</v>
      </c>
    </row>
    <row r="5" spans="1:13" ht="17.25" x14ac:dyDescent="0.3">
      <c r="B5" s="59">
        <v>2</v>
      </c>
      <c r="C5" s="55" t="s">
        <v>56</v>
      </c>
      <c r="D5" s="17">
        <v>70</v>
      </c>
      <c r="E5" s="17">
        <v>0.3</v>
      </c>
      <c r="F5" s="17">
        <v>1</v>
      </c>
    </row>
    <row r="6" spans="1:13" ht="17.25" x14ac:dyDescent="0.3">
      <c r="B6" s="59">
        <v>3</v>
      </c>
      <c r="C6" s="55" t="s">
        <v>56</v>
      </c>
      <c r="D6" s="17">
        <v>44</v>
      </c>
      <c r="E6" s="17">
        <v>0.08</v>
      </c>
      <c r="F6" s="17">
        <v>1</v>
      </c>
      <c r="G6" s="1"/>
    </row>
    <row r="7" spans="1:13" ht="17.25" x14ac:dyDescent="0.3">
      <c r="B7" s="59">
        <v>4</v>
      </c>
      <c r="C7" s="55" t="s">
        <v>56</v>
      </c>
      <c r="D7" s="17">
        <v>32</v>
      </c>
      <c r="E7" s="17">
        <v>0.41</v>
      </c>
      <c r="F7" s="17">
        <v>1</v>
      </c>
    </row>
    <row r="8" spans="1:13" ht="17.25" x14ac:dyDescent="0.3">
      <c r="B8" s="59">
        <v>5</v>
      </c>
      <c r="C8" s="55" t="s">
        <v>57</v>
      </c>
      <c r="D8" s="17">
        <v>81</v>
      </c>
      <c r="E8" s="17">
        <v>0.11</v>
      </c>
      <c r="F8" s="17">
        <v>1</v>
      </c>
    </row>
    <row r="9" spans="1:13" ht="17.25" x14ac:dyDescent="0.3">
      <c r="B9" s="59">
        <v>6</v>
      </c>
      <c r="C9" s="55" t="s">
        <v>57</v>
      </c>
      <c r="D9" s="17">
        <v>29</v>
      </c>
      <c r="E9" s="17">
        <v>0.06</v>
      </c>
      <c r="F9" s="17">
        <v>0</v>
      </c>
    </row>
    <row r="10" spans="1:13" ht="17.25" x14ac:dyDescent="0.3">
      <c r="B10" s="59">
        <v>7</v>
      </c>
      <c r="C10" s="55" t="s">
        <v>57</v>
      </c>
      <c r="D10" s="17">
        <v>43</v>
      </c>
      <c r="E10" s="17">
        <v>0.21</v>
      </c>
      <c r="F10" s="17">
        <v>0</v>
      </c>
    </row>
    <row r="11" spans="1:13" ht="17.25" x14ac:dyDescent="0.3">
      <c r="B11" s="59">
        <v>8</v>
      </c>
      <c r="C11" s="55" t="s">
        <v>57</v>
      </c>
      <c r="D11" s="17">
        <v>83</v>
      </c>
      <c r="E11" s="17">
        <v>0.38</v>
      </c>
      <c r="F11" s="17">
        <v>1</v>
      </c>
    </row>
    <row r="12" spans="1:13" ht="17.25" x14ac:dyDescent="0.3">
      <c r="B12" s="59">
        <v>9</v>
      </c>
      <c r="C12" s="60" t="s">
        <v>56</v>
      </c>
      <c r="D12" s="61">
        <v>19</v>
      </c>
      <c r="E12" s="61">
        <v>0.1</v>
      </c>
      <c r="F12" s="61"/>
      <c r="G12" s="17"/>
    </row>
    <row r="13" spans="1:13" x14ac:dyDescent="0.3">
      <c r="F13" s="56"/>
      <c r="G13" s="17"/>
    </row>
    <row r="14" spans="1:13" ht="18.75" x14ac:dyDescent="0.3">
      <c r="A14" s="24" t="s">
        <v>100</v>
      </c>
    </row>
    <row r="15" spans="1:13" ht="16.5" customHeight="1" x14ac:dyDescent="0.3">
      <c r="A15" s="155" t="s">
        <v>94</v>
      </c>
      <c r="B15" s="155"/>
      <c r="C15" s="155"/>
      <c r="D15" s="155"/>
      <c r="E15" s="155"/>
      <c r="F15" s="155"/>
      <c r="G15" s="155"/>
      <c r="H15" s="155"/>
      <c r="I15" s="155"/>
      <c r="J15" s="155"/>
      <c r="K15" s="155"/>
      <c r="L15" s="155"/>
      <c r="M15" s="155"/>
    </row>
    <row r="16" spans="1:13" x14ac:dyDescent="0.3">
      <c r="A16" s="155"/>
      <c r="B16" s="155"/>
      <c r="C16" s="155"/>
      <c r="D16" s="155"/>
      <c r="E16" s="155"/>
      <c r="F16" s="155"/>
      <c r="G16" s="155"/>
      <c r="H16" s="155"/>
      <c r="I16" s="155"/>
      <c r="J16" s="155"/>
      <c r="K16" s="155"/>
      <c r="L16" s="155"/>
      <c r="M16" s="155"/>
    </row>
    <row r="17" spans="1:13" x14ac:dyDescent="0.3">
      <c r="A17" s="50"/>
      <c r="B17" s="50"/>
      <c r="C17" s="50"/>
      <c r="D17" s="50"/>
      <c r="E17" s="50"/>
      <c r="F17" s="50"/>
      <c r="G17" s="50"/>
      <c r="H17" s="50"/>
      <c r="I17" s="50"/>
      <c r="J17" s="50"/>
      <c r="K17" s="50"/>
      <c r="L17" s="50"/>
      <c r="M17" s="50"/>
    </row>
    <row r="18" spans="1:13" ht="21.75" customHeight="1" x14ac:dyDescent="0.3">
      <c r="A18" s="150" t="s">
        <v>95</v>
      </c>
      <c r="B18" s="150"/>
      <c r="C18" s="150"/>
      <c r="D18" s="150"/>
      <c r="E18" s="150"/>
      <c r="F18" s="50"/>
      <c r="G18" s="50"/>
      <c r="H18" s="50"/>
      <c r="I18" s="50"/>
      <c r="J18" s="50"/>
      <c r="K18" s="50"/>
      <c r="L18" s="50"/>
      <c r="M18" s="50"/>
    </row>
    <row r="20" spans="1:13" ht="18.75" x14ac:dyDescent="0.3">
      <c r="A20" s="57" t="s">
        <v>51</v>
      </c>
      <c r="B20" s="58" t="s">
        <v>52</v>
      </c>
      <c r="C20" s="58" t="s">
        <v>53</v>
      </c>
      <c r="D20" s="58" t="s">
        <v>54</v>
      </c>
      <c r="E20" s="58" t="s">
        <v>55</v>
      </c>
      <c r="F20" s="58" t="s">
        <v>60</v>
      </c>
      <c r="G20" s="58" t="s">
        <v>58</v>
      </c>
      <c r="H20" s="64" t="s">
        <v>61</v>
      </c>
    </row>
    <row r="21" spans="1:13" ht="18.75" x14ac:dyDescent="0.3">
      <c r="A21" s="59">
        <v>1</v>
      </c>
      <c r="B21" s="12">
        <v>0</v>
      </c>
      <c r="C21" s="19">
        <f t="shared" ref="C21:C28" si="0">(D4-MIN($D$4:$D$11))/((MAX($D$4:$D$11)-MIN($D$4:$D$11)))</f>
        <v>0</v>
      </c>
      <c r="D21" s="13">
        <v>0.1</v>
      </c>
      <c r="E21" s="20">
        <v>0</v>
      </c>
      <c r="F21" s="62">
        <f t="shared" ref="F21:F28" si="1">POWER((C21+C$29),2)+POWER((D21-D$29),2)</f>
        <v>2.5195263290501383E-4</v>
      </c>
      <c r="G21" s="63">
        <f t="shared" ref="G21:G28" si="2">POWER(B21,2)+F21</f>
        <v>2.5195263290501383E-4</v>
      </c>
      <c r="H21" s="30">
        <v>1</v>
      </c>
    </row>
    <row r="22" spans="1:13" ht="18.75" x14ac:dyDescent="0.3">
      <c r="A22" s="59">
        <v>2</v>
      </c>
      <c r="B22" s="12">
        <v>0</v>
      </c>
      <c r="C22" s="19">
        <f t="shared" si="0"/>
        <v>0.79365079365079361</v>
      </c>
      <c r="D22" s="13">
        <v>0.3</v>
      </c>
      <c r="E22" s="13">
        <v>1</v>
      </c>
      <c r="F22" s="62">
        <f t="shared" si="1"/>
        <v>0.69532879818594107</v>
      </c>
      <c r="G22" s="63">
        <f t="shared" si="2"/>
        <v>0.69532879818594107</v>
      </c>
      <c r="H22" s="30"/>
    </row>
    <row r="23" spans="1:13" ht="18.75" x14ac:dyDescent="0.3">
      <c r="A23" s="59">
        <v>3</v>
      </c>
      <c r="B23" s="12">
        <v>0</v>
      </c>
      <c r="C23" s="19">
        <f t="shared" si="0"/>
        <v>0.38095238095238093</v>
      </c>
      <c r="D23" s="13">
        <v>0.08</v>
      </c>
      <c r="E23" s="13">
        <v>1</v>
      </c>
      <c r="F23" s="62">
        <f t="shared" si="1"/>
        <v>0.15787039556563365</v>
      </c>
      <c r="G23" s="63">
        <f t="shared" si="2"/>
        <v>0.15787039556563365</v>
      </c>
      <c r="H23" s="30"/>
    </row>
    <row r="24" spans="1:13" ht="18.75" x14ac:dyDescent="0.3">
      <c r="A24" s="59">
        <v>4</v>
      </c>
      <c r="B24" s="12">
        <v>0</v>
      </c>
      <c r="C24" s="19">
        <f t="shared" si="0"/>
        <v>0.19047619047619047</v>
      </c>
      <c r="D24" s="13">
        <v>0.41</v>
      </c>
      <c r="E24" s="13">
        <v>1</v>
      </c>
      <c r="F24" s="62">
        <f t="shared" si="1"/>
        <v>0.13867999496094729</v>
      </c>
      <c r="G24" s="63">
        <f t="shared" si="2"/>
        <v>0.13867999496094729</v>
      </c>
      <c r="H24" s="30"/>
    </row>
    <row r="25" spans="1:13" ht="18.75" x14ac:dyDescent="0.3">
      <c r="A25" s="59">
        <v>5</v>
      </c>
      <c r="B25" s="12">
        <v>1</v>
      </c>
      <c r="C25" s="19">
        <f t="shared" si="0"/>
        <v>0.96825396825396826</v>
      </c>
      <c r="D25" s="13">
        <v>0.11</v>
      </c>
      <c r="E25" s="13">
        <v>1</v>
      </c>
      <c r="F25" s="62">
        <f t="shared" si="1"/>
        <v>0.96860592088687336</v>
      </c>
      <c r="G25" s="63">
        <f t="shared" si="2"/>
        <v>1.9686059208868734</v>
      </c>
      <c r="H25" s="30"/>
    </row>
    <row r="26" spans="1:13" ht="18.75" x14ac:dyDescent="0.3">
      <c r="A26" s="59">
        <v>6</v>
      </c>
      <c r="B26" s="12">
        <v>1</v>
      </c>
      <c r="C26" s="19">
        <f t="shared" si="0"/>
        <v>0.14285714285714285</v>
      </c>
      <c r="D26" s="13">
        <v>0.06</v>
      </c>
      <c r="E26" s="20">
        <v>0</v>
      </c>
      <c r="F26" s="62">
        <f t="shared" si="1"/>
        <v>2.6795263290501383E-2</v>
      </c>
      <c r="G26" s="63">
        <f t="shared" si="2"/>
        <v>1.0267952632905013</v>
      </c>
      <c r="H26" s="30">
        <v>2</v>
      </c>
    </row>
    <row r="27" spans="1:13" ht="18.75" x14ac:dyDescent="0.3">
      <c r="A27" s="59">
        <v>7</v>
      </c>
      <c r="B27" s="12">
        <v>1</v>
      </c>
      <c r="C27" s="19">
        <f t="shared" si="0"/>
        <v>0.36507936507936506</v>
      </c>
      <c r="D27" s="13">
        <v>0.21</v>
      </c>
      <c r="E27" s="20">
        <v>0</v>
      </c>
      <c r="F27" s="62">
        <f t="shared" si="1"/>
        <v>0.15722471655328796</v>
      </c>
      <c r="G27" s="63">
        <f t="shared" si="2"/>
        <v>1.1572247165532881</v>
      </c>
      <c r="H27" s="30">
        <v>3</v>
      </c>
    </row>
    <row r="28" spans="1:13" ht="18.75" x14ac:dyDescent="0.3">
      <c r="A28" s="59">
        <v>8</v>
      </c>
      <c r="B28" s="12">
        <v>1</v>
      </c>
      <c r="C28" s="19">
        <f t="shared" si="0"/>
        <v>1</v>
      </c>
      <c r="D28" s="13">
        <v>0.38</v>
      </c>
      <c r="E28" s="13">
        <v>1</v>
      </c>
      <c r="F28" s="62">
        <f t="shared" si="1"/>
        <v>1.1103979843789367</v>
      </c>
      <c r="G28" s="63">
        <f t="shared" si="2"/>
        <v>2.1103979843789364</v>
      </c>
    </row>
    <row r="29" spans="1:13" ht="17.25" x14ac:dyDescent="0.3">
      <c r="A29" s="59">
        <v>9</v>
      </c>
      <c r="B29" s="60">
        <v>0</v>
      </c>
      <c r="C29" s="61">
        <f>ABS(D12-20)/(83-20)</f>
        <v>1.5873015873015872E-2</v>
      </c>
      <c r="D29" s="61">
        <v>0.1</v>
      </c>
      <c r="E29" s="65">
        <v>0</v>
      </c>
    </row>
    <row r="30" spans="1:13" ht="17.25" thickBot="1" x14ac:dyDescent="0.35"/>
    <row r="31" spans="1:13" ht="19.5" thickBot="1" x14ac:dyDescent="0.35">
      <c r="A31" s="152" t="s">
        <v>96</v>
      </c>
      <c r="B31" s="153"/>
      <c r="C31" s="153"/>
      <c r="D31" s="153"/>
      <c r="E31" s="153"/>
      <c r="F31" s="153"/>
      <c r="G31" s="154"/>
    </row>
    <row r="34" spans="1:13" x14ac:dyDescent="0.3">
      <c r="A34" t="s">
        <v>97</v>
      </c>
    </row>
    <row r="39" spans="1:13" ht="16.5" customHeight="1" x14ac:dyDescent="0.3">
      <c r="A39" s="155" t="s">
        <v>98</v>
      </c>
      <c r="B39" s="155"/>
      <c r="C39" s="155"/>
      <c r="D39" s="155"/>
      <c r="E39" s="155"/>
      <c r="F39" s="155"/>
      <c r="G39" s="155"/>
      <c r="H39" s="155"/>
      <c r="I39" s="155"/>
      <c r="J39" s="49"/>
      <c r="K39" s="49"/>
      <c r="L39" s="49"/>
      <c r="M39" s="49"/>
    </row>
    <row r="40" spans="1:13" hidden="1" x14ac:dyDescent="0.3">
      <c r="A40" s="14" t="s">
        <v>51</v>
      </c>
      <c r="B40" s="13" t="s">
        <v>52</v>
      </c>
      <c r="C40" s="13" t="s">
        <v>53</v>
      </c>
      <c r="D40" s="13" t="s">
        <v>54</v>
      </c>
      <c r="E40" s="13" t="s">
        <v>55</v>
      </c>
      <c r="F40" s="13" t="s">
        <v>58</v>
      </c>
      <c r="G40" s="1" t="s">
        <v>59</v>
      </c>
    </row>
    <row r="41" spans="1:13" hidden="1" x14ac:dyDescent="0.3">
      <c r="A41" s="14">
        <v>1</v>
      </c>
      <c r="B41" s="12" t="s">
        <v>56</v>
      </c>
      <c r="C41" s="15">
        <v>20</v>
      </c>
      <c r="D41" s="13">
        <v>0.1</v>
      </c>
      <c r="E41" s="13">
        <v>0</v>
      </c>
      <c r="F41" s="16">
        <f t="shared" ref="F41:F48" si="3">POWER((C41-C$15),2)+POWER((D41-D$15),2)</f>
        <v>400.01</v>
      </c>
    </row>
    <row r="42" spans="1:13" hidden="1" x14ac:dyDescent="0.3">
      <c r="A42" s="14">
        <v>6</v>
      </c>
      <c r="B42" s="12" t="s">
        <v>57</v>
      </c>
      <c r="C42" s="13">
        <v>29</v>
      </c>
      <c r="D42" s="13">
        <v>0.06</v>
      </c>
      <c r="E42" s="13">
        <v>0</v>
      </c>
      <c r="F42" s="16">
        <f t="shared" si="3"/>
        <v>841.00360000000001</v>
      </c>
    </row>
    <row r="43" spans="1:13" hidden="1" x14ac:dyDescent="0.3">
      <c r="A43" s="14">
        <v>7</v>
      </c>
      <c r="B43" s="12" t="s">
        <v>57</v>
      </c>
      <c r="C43" s="13">
        <v>43</v>
      </c>
      <c r="D43" s="13">
        <v>0.21</v>
      </c>
      <c r="E43" s="13">
        <v>0</v>
      </c>
      <c r="F43" s="16">
        <f t="shared" si="3"/>
        <v>1849.0441000000001</v>
      </c>
    </row>
    <row r="44" spans="1:13" hidden="1" x14ac:dyDescent="0.3">
      <c r="A44" s="14">
        <v>2</v>
      </c>
      <c r="B44" s="12" t="s">
        <v>56</v>
      </c>
      <c r="C44" s="13">
        <v>70</v>
      </c>
      <c r="D44" s="13">
        <v>0.3</v>
      </c>
      <c r="E44" s="13">
        <v>1</v>
      </c>
      <c r="F44" s="16">
        <f t="shared" si="3"/>
        <v>4900.09</v>
      </c>
    </row>
    <row r="45" spans="1:13" hidden="1" x14ac:dyDescent="0.3">
      <c r="A45" s="14">
        <v>3</v>
      </c>
      <c r="B45" s="12" t="s">
        <v>56</v>
      </c>
      <c r="C45" s="13">
        <v>44</v>
      </c>
      <c r="D45" s="13">
        <v>0.08</v>
      </c>
      <c r="E45" s="13">
        <v>1</v>
      </c>
      <c r="F45" s="16">
        <f t="shared" si="3"/>
        <v>1936.0064</v>
      </c>
    </row>
    <row r="46" spans="1:13" hidden="1" x14ac:dyDescent="0.3">
      <c r="A46" s="14">
        <v>4</v>
      </c>
      <c r="B46" s="12" t="s">
        <v>56</v>
      </c>
      <c r="C46" s="13">
        <v>32</v>
      </c>
      <c r="D46" s="13">
        <v>0.41</v>
      </c>
      <c r="E46" s="13">
        <v>1</v>
      </c>
      <c r="F46" s="16">
        <f t="shared" si="3"/>
        <v>1024.1681000000001</v>
      </c>
      <c r="G46" s="17">
        <v>1</v>
      </c>
    </row>
    <row r="47" spans="1:13" hidden="1" x14ac:dyDescent="0.3">
      <c r="A47" s="14">
        <v>5</v>
      </c>
      <c r="B47" s="12" t="s">
        <v>57</v>
      </c>
      <c r="C47" s="13">
        <v>81</v>
      </c>
      <c r="D47" s="13">
        <v>0.11</v>
      </c>
      <c r="E47" s="13">
        <v>1</v>
      </c>
      <c r="F47" s="16">
        <f t="shared" si="3"/>
        <v>6561.0120999999999</v>
      </c>
      <c r="G47" s="17">
        <v>2</v>
      </c>
    </row>
    <row r="48" spans="1:13" hidden="1" x14ac:dyDescent="0.3">
      <c r="A48" s="14">
        <v>8</v>
      </c>
      <c r="B48" s="12" t="s">
        <v>57</v>
      </c>
      <c r="C48" s="13">
        <v>83</v>
      </c>
      <c r="D48" s="13">
        <v>0.38</v>
      </c>
      <c r="E48" s="13">
        <v>1</v>
      </c>
      <c r="F48" s="16">
        <f t="shared" si="3"/>
        <v>6889.1444000000001</v>
      </c>
      <c r="G48" s="17">
        <v>3</v>
      </c>
    </row>
    <row r="49" spans="1:8" hidden="1" x14ac:dyDescent="0.3">
      <c r="A49" s="14">
        <v>9</v>
      </c>
      <c r="B49" s="12" t="s">
        <v>56</v>
      </c>
      <c r="C49" s="18">
        <v>19</v>
      </c>
      <c r="D49" s="18">
        <v>0.1</v>
      </c>
      <c r="E49" s="13"/>
      <c r="F49" s="14"/>
    </row>
    <row r="51" spans="1:8" ht="18.75" x14ac:dyDescent="0.3">
      <c r="A51" s="57" t="s">
        <v>51</v>
      </c>
      <c r="B51" s="58" t="s">
        <v>52</v>
      </c>
      <c r="C51" s="58" t="s">
        <v>53</v>
      </c>
      <c r="D51" s="58" t="s">
        <v>54</v>
      </c>
      <c r="E51" s="58" t="s">
        <v>55</v>
      </c>
      <c r="F51" s="58" t="s">
        <v>60</v>
      </c>
      <c r="G51" s="58" t="s">
        <v>58</v>
      </c>
      <c r="H51" s="17" t="s">
        <v>62</v>
      </c>
    </row>
    <row r="52" spans="1:8" ht="18.75" x14ac:dyDescent="0.3">
      <c r="A52" s="59">
        <v>1</v>
      </c>
      <c r="B52" s="12">
        <v>0</v>
      </c>
      <c r="C52" s="19">
        <f t="shared" ref="C52:C59" si="4">(C41-MIN($C$41:$C$48))/((MAX($C$41:$C$48)-MIN($C$41:$C$48)))</f>
        <v>0</v>
      </c>
      <c r="D52" s="13">
        <v>0.1</v>
      </c>
      <c r="E52" s="20">
        <v>0</v>
      </c>
      <c r="F52" s="62">
        <f>POWER((C52+C$60),2)+POWER((D52-D$60),2)</f>
        <v>2.5195263290501383E-4</v>
      </c>
      <c r="G52" s="63">
        <f>POWER(B52,2)+F52</f>
        <v>2.5195263290501383E-4</v>
      </c>
      <c r="H52">
        <v>1</v>
      </c>
    </row>
    <row r="53" spans="1:8" ht="19.5" thickBot="1" x14ac:dyDescent="0.35">
      <c r="A53" s="59">
        <v>6</v>
      </c>
      <c r="B53" s="12">
        <v>1</v>
      </c>
      <c r="C53" s="19">
        <f t="shared" si="4"/>
        <v>0.14285714285714285</v>
      </c>
      <c r="D53" s="13">
        <v>0.06</v>
      </c>
      <c r="E53" s="13">
        <v>0</v>
      </c>
      <c r="F53" s="62">
        <f t="shared" ref="F53:F59" si="5">POWER((C53+C$60),2)+POWER((D53-D$60),2)</f>
        <v>2.6795263290501383E-2</v>
      </c>
      <c r="G53" s="63">
        <f t="shared" ref="G53:G59" si="6">POWER(B53,2)+F53</f>
        <v>1.0267952632905013</v>
      </c>
      <c r="H53">
        <v>2</v>
      </c>
    </row>
    <row r="54" spans="1:8" ht="18.75" x14ac:dyDescent="0.3">
      <c r="A54" s="59">
        <v>7</v>
      </c>
      <c r="B54" s="12">
        <v>1</v>
      </c>
      <c r="C54" s="19">
        <f t="shared" si="4"/>
        <v>0.36507936507936506</v>
      </c>
      <c r="D54" s="13">
        <v>0.21</v>
      </c>
      <c r="E54" s="13">
        <v>0</v>
      </c>
      <c r="F54" s="62">
        <f t="shared" si="5"/>
        <v>0.15722471655328796</v>
      </c>
      <c r="G54" s="63">
        <f t="shared" si="6"/>
        <v>1.1572247165532881</v>
      </c>
      <c r="H54" s="66">
        <v>3</v>
      </c>
    </row>
    <row r="55" spans="1:8" ht="19.5" thickBot="1" x14ac:dyDescent="0.35">
      <c r="A55" s="67">
        <v>4</v>
      </c>
      <c r="B55" s="68">
        <v>0</v>
      </c>
      <c r="C55" s="69">
        <f t="shared" si="4"/>
        <v>0.79365079365079361</v>
      </c>
      <c r="D55" s="70">
        <v>0.41</v>
      </c>
      <c r="E55" s="70">
        <v>1</v>
      </c>
      <c r="F55" s="71">
        <f t="shared" si="5"/>
        <v>0.75142879818594099</v>
      </c>
      <c r="G55" s="72">
        <f t="shared" si="6"/>
        <v>0.75142879818594099</v>
      </c>
      <c r="H55" s="73">
        <v>3</v>
      </c>
    </row>
    <row r="56" spans="1:8" ht="18.75" x14ac:dyDescent="0.3">
      <c r="A56" s="59">
        <v>3</v>
      </c>
      <c r="B56" s="12">
        <v>0</v>
      </c>
      <c r="C56" s="19">
        <f t="shared" si="4"/>
        <v>0.38095238095238093</v>
      </c>
      <c r="D56" s="13">
        <v>0.08</v>
      </c>
      <c r="E56" s="13">
        <v>1</v>
      </c>
      <c r="F56" s="62">
        <f t="shared" si="5"/>
        <v>0.15787039556563365</v>
      </c>
      <c r="G56" s="63">
        <f t="shared" si="6"/>
        <v>0.15787039556563365</v>
      </c>
      <c r="H56">
        <v>2</v>
      </c>
    </row>
    <row r="57" spans="1:8" ht="18.75" x14ac:dyDescent="0.3">
      <c r="A57" s="59">
        <v>2</v>
      </c>
      <c r="B57" s="12">
        <v>0</v>
      </c>
      <c r="C57" s="19">
        <f t="shared" si="4"/>
        <v>0.19047619047619047</v>
      </c>
      <c r="D57" s="13">
        <v>0.3</v>
      </c>
      <c r="E57" s="20">
        <v>1</v>
      </c>
      <c r="F57" s="62">
        <f t="shared" si="5"/>
        <v>8.2579994960947339E-2</v>
      </c>
      <c r="G57" s="63">
        <f>POWER(B57,2)+F57</f>
        <v>8.2579994960947339E-2</v>
      </c>
      <c r="H57">
        <v>1</v>
      </c>
    </row>
    <row r="58" spans="1:8" ht="18.75" x14ac:dyDescent="0.3">
      <c r="A58" s="59">
        <v>5</v>
      </c>
      <c r="B58" s="12">
        <v>1</v>
      </c>
      <c r="C58" s="19">
        <f t="shared" si="4"/>
        <v>0.96825396825396826</v>
      </c>
      <c r="D58" s="13">
        <v>0.11</v>
      </c>
      <c r="E58" s="20">
        <v>1</v>
      </c>
      <c r="F58" s="62">
        <f t="shared" si="5"/>
        <v>0.96860592088687336</v>
      </c>
      <c r="G58" s="63">
        <f t="shared" si="6"/>
        <v>1.9686059208868734</v>
      </c>
    </row>
    <row r="59" spans="1:8" ht="18.75" x14ac:dyDescent="0.3">
      <c r="A59" s="59">
        <v>8</v>
      </c>
      <c r="B59" s="12">
        <v>1</v>
      </c>
      <c r="C59" s="19">
        <f t="shared" si="4"/>
        <v>1</v>
      </c>
      <c r="D59" s="13">
        <v>0.38</v>
      </c>
      <c r="E59" s="13">
        <v>1</v>
      </c>
      <c r="F59" s="62">
        <f t="shared" si="5"/>
        <v>1.1103979843789367</v>
      </c>
      <c r="G59" s="63">
        <f t="shared" si="6"/>
        <v>2.1103979843789364</v>
      </c>
    </row>
    <row r="60" spans="1:8" ht="17.25" x14ac:dyDescent="0.3">
      <c r="A60" s="59">
        <v>9</v>
      </c>
      <c r="B60" s="60">
        <v>0</v>
      </c>
      <c r="C60" s="61">
        <f>ABS(C49-20)/(83-20)</f>
        <v>1.5873015873015872E-2</v>
      </c>
      <c r="D60" s="61">
        <v>0.1</v>
      </c>
      <c r="E60" s="65">
        <v>1</v>
      </c>
    </row>
    <row r="61" spans="1:8" ht="17.25" thickBot="1" x14ac:dyDescent="0.35"/>
    <row r="62" spans="1:8" ht="19.5" thickBot="1" x14ac:dyDescent="0.35">
      <c r="A62" s="152" t="s">
        <v>99</v>
      </c>
      <c r="B62" s="153"/>
      <c r="C62" s="153"/>
      <c r="D62" s="153"/>
      <c r="E62" s="153"/>
      <c r="F62" s="153"/>
      <c r="G62" s="154"/>
    </row>
  </sheetData>
  <sortState ref="A2:F10">
    <sortCondition descending="1" ref="E2:E10"/>
    <sortCondition ref="F2:F10"/>
  </sortState>
  <mergeCells count="5">
    <mergeCell ref="A62:G62"/>
    <mergeCell ref="A15:M16"/>
    <mergeCell ref="A18:E18"/>
    <mergeCell ref="A31:G31"/>
    <mergeCell ref="A39:I3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X51"/>
  <sheetViews>
    <sheetView zoomScale="64" zoomScaleNormal="64" workbookViewId="0">
      <selection activeCell="AB28" sqref="AB28"/>
    </sheetView>
  </sheetViews>
  <sheetFormatPr baseColWidth="10" defaultRowHeight="16.5" x14ac:dyDescent="0.3"/>
  <cols>
    <col min="1" max="1" width="12.75" customWidth="1"/>
    <col min="2" max="2" width="6.375" customWidth="1"/>
    <col min="5" max="5" width="7" customWidth="1"/>
    <col min="6" max="6" width="9.25" customWidth="1"/>
    <col min="7" max="11" width="8.25" customWidth="1"/>
    <col min="12" max="12" width="6.875" customWidth="1"/>
    <col min="13" max="14" width="5" bestFit="1" customWidth="1"/>
    <col min="15" max="15" width="6.75" customWidth="1"/>
    <col min="16" max="17" width="5" bestFit="1" customWidth="1"/>
    <col min="18" max="18" width="12.25" customWidth="1"/>
    <col min="19" max="19" width="8.25" customWidth="1"/>
  </cols>
  <sheetData>
    <row r="1" spans="1:19" ht="18.75" x14ac:dyDescent="0.3">
      <c r="A1" s="24" t="s">
        <v>101</v>
      </c>
    </row>
    <row r="2" spans="1:19" ht="16.5" customHeight="1" x14ac:dyDescent="0.3">
      <c r="A2" s="150" t="s">
        <v>102</v>
      </c>
      <c r="B2" s="150"/>
      <c r="C2" s="150"/>
      <c r="D2" s="150"/>
      <c r="E2" s="150"/>
      <c r="F2" s="150"/>
      <c r="G2" s="150"/>
      <c r="H2" s="150"/>
      <c r="I2" s="150"/>
      <c r="J2" s="150"/>
      <c r="K2" s="49"/>
      <c r="L2" s="49"/>
      <c r="M2" s="49"/>
    </row>
    <row r="4" spans="1:19" ht="24.75" customHeight="1" x14ac:dyDescent="0.45">
      <c r="J4" s="81"/>
      <c r="L4" s="82" t="s">
        <v>129</v>
      </c>
      <c r="M4" s="82" t="s">
        <v>130</v>
      </c>
      <c r="N4" s="82" t="s">
        <v>131</v>
      </c>
    </row>
    <row r="5" spans="1:19" ht="20.25" x14ac:dyDescent="0.3">
      <c r="A5" s="74"/>
      <c r="B5" s="86" t="s">
        <v>141</v>
      </c>
      <c r="C5" s="74"/>
      <c r="D5" s="74"/>
      <c r="E5" s="74"/>
      <c r="F5" s="74"/>
      <c r="G5" s="74"/>
      <c r="H5" s="74"/>
      <c r="I5" s="74"/>
      <c r="J5" s="74"/>
      <c r="K5" s="74"/>
      <c r="L5" s="83">
        <v>-0.5</v>
      </c>
      <c r="M5" s="83">
        <v>0.3</v>
      </c>
      <c r="N5" s="83">
        <v>0.2</v>
      </c>
    </row>
    <row r="6" spans="1:19" ht="18" x14ac:dyDescent="0.3">
      <c r="A6" s="78" t="s">
        <v>127</v>
      </c>
      <c r="B6" s="80">
        <v>1</v>
      </c>
      <c r="C6" s="17"/>
      <c r="D6" s="74"/>
      <c r="E6" s="74"/>
      <c r="F6" s="74"/>
      <c r="G6" s="74"/>
      <c r="H6" s="74"/>
      <c r="I6" s="74"/>
      <c r="J6" s="74"/>
      <c r="K6" s="74"/>
      <c r="L6" s="74"/>
      <c r="M6" s="74"/>
    </row>
    <row r="7" spans="1:19" ht="24" x14ac:dyDescent="0.3">
      <c r="A7" s="78"/>
      <c r="B7" s="17"/>
      <c r="C7" s="17"/>
      <c r="D7" s="74"/>
      <c r="E7" s="87" t="s">
        <v>144</v>
      </c>
      <c r="F7" s="74"/>
      <c r="G7" s="74"/>
      <c r="H7" s="74"/>
      <c r="I7" s="74"/>
      <c r="J7" s="74"/>
      <c r="K7" s="74"/>
      <c r="L7" s="84" t="s">
        <v>132</v>
      </c>
      <c r="M7" s="84" t="s">
        <v>133</v>
      </c>
      <c r="N7" s="84" t="s">
        <v>134</v>
      </c>
      <c r="O7" s="84" t="s">
        <v>135</v>
      </c>
      <c r="P7" s="84" t="s">
        <v>136</v>
      </c>
      <c r="Q7" s="84" t="s">
        <v>137</v>
      </c>
      <c r="R7" s="84" t="s">
        <v>138</v>
      </c>
      <c r="S7" s="84" t="s">
        <v>139</v>
      </c>
    </row>
    <row r="8" spans="1:19" ht="24" x14ac:dyDescent="0.3">
      <c r="A8" s="78"/>
      <c r="B8" s="17"/>
      <c r="C8" s="17"/>
      <c r="E8" s="79">
        <v>4</v>
      </c>
      <c r="F8" s="74"/>
      <c r="G8" s="74"/>
      <c r="H8" s="87" t="s">
        <v>145</v>
      </c>
      <c r="I8" s="74"/>
      <c r="J8" s="74"/>
      <c r="K8" s="74"/>
      <c r="L8" s="83">
        <v>0.1</v>
      </c>
      <c r="M8" s="83">
        <v>-0.2</v>
      </c>
      <c r="N8" s="83">
        <v>0.3</v>
      </c>
      <c r="O8" s="83">
        <v>0.2</v>
      </c>
      <c r="P8" s="83">
        <v>-0.3</v>
      </c>
      <c r="Q8" s="83">
        <v>0.2</v>
      </c>
      <c r="R8" s="83">
        <v>0.3</v>
      </c>
      <c r="S8" s="83">
        <v>0.4</v>
      </c>
    </row>
    <row r="9" spans="1:19" ht="20.25" x14ac:dyDescent="0.3">
      <c r="A9" s="78"/>
      <c r="B9" s="86" t="s">
        <v>142</v>
      </c>
      <c r="C9" s="17"/>
      <c r="D9" s="74"/>
      <c r="E9" s="74"/>
      <c r="F9" s="74"/>
      <c r="G9" s="74"/>
      <c r="H9" s="156">
        <v>6</v>
      </c>
      <c r="I9" s="74"/>
      <c r="J9" s="74"/>
      <c r="K9" s="74"/>
      <c r="L9" s="74"/>
      <c r="M9" s="74"/>
    </row>
    <row r="10" spans="1:19" ht="18.75" x14ac:dyDescent="0.3">
      <c r="A10" s="78" t="s">
        <v>53</v>
      </c>
      <c r="B10" s="80">
        <v>2</v>
      </c>
      <c r="C10" s="17"/>
      <c r="D10" s="74"/>
      <c r="E10" s="74"/>
      <c r="F10" s="74"/>
      <c r="G10" s="74"/>
      <c r="H10" s="156"/>
      <c r="I10" s="74" t="s">
        <v>128</v>
      </c>
      <c r="J10" s="74"/>
      <c r="K10" s="74"/>
      <c r="L10" s="85" t="s">
        <v>140</v>
      </c>
      <c r="M10" s="74"/>
    </row>
    <row r="11" spans="1:19" ht="24" x14ac:dyDescent="0.3">
      <c r="A11" s="78"/>
      <c r="B11" s="17"/>
      <c r="C11" s="17"/>
      <c r="D11" s="74"/>
      <c r="E11" s="87" t="s">
        <v>145</v>
      </c>
      <c r="F11" s="74"/>
      <c r="G11" s="74"/>
      <c r="H11" s="74"/>
      <c r="I11" s="74"/>
      <c r="J11" s="74"/>
      <c r="K11" s="74"/>
      <c r="L11" s="83">
        <v>1</v>
      </c>
      <c r="M11" s="74"/>
    </row>
    <row r="12" spans="1:19" ht="18" x14ac:dyDescent="0.3">
      <c r="A12" s="78"/>
      <c r="B12" s="17"/>
      <c r="C12" s="17"/>
      <c r="D12" s="74"/>
      <c r="E12" s="79">
        <v>5</v>
      </c>
      <c r="F12" s="74"/>
      <c r="G12" s="74"/>
      <c r="H12" s="74"/>
      <c r="I12" s="74"/>
      <c r="J12" s="74"/>
      <c r="K12" s="74"/>
      <c r="L12" s="74"/>
      <c r="M12" s="74"/>
    </row>
    <row r="13" spans="1:19" ht="20.25" x14ac:dyDescent="0.3">
      <c r="A13" s="78"/>
      <c r="B13" s="86" t="s">
        <v>143</v>
      </c>
      <c r="C13" s="17"/>
      <c r="D13" s="74"/>
      <c r="E13" s="74"/>
      <c r="F13" s="74"/>
      <c r="G13" s="74"/>
      <c r="H13" s="74"/>
      <c r="I13" s="74"/>
      <c r="J13" s="74"/>
      <c r="K13" s="74"/>
      <c r="L13" s="74"/>
      <c r="M13" s="74"/>
    </row>
    <row r="14" spans="1:19" ht="18" x14ac:dyDescent="0.3">
      <c r="A14" s="78" t="s">
        <v>54</v>
      </c>
      <c r="B14" s="80">
        <v>3</v>
      </c>
      <c r="C14" s="17"/>
      <c r="D14" s="74"/>
      <c r="E14" s="74"/>
      <c r="F14" s="74"/>
      <c r="G14" s="74"/>
      <c r="H14" s="74"/>
      <c r="I14" s="74"/>
      <c r="J14" s="74"/>
      <c r="K14" s="74"/>
      <c r="L14" s="74"/>
      <c r="M14" s="74"/>
    </row>
    <row r="15" spans="1:19" x14ac:dyDescent="0.3">
      <c r="A15" s="22"/>
      <c r="B15" s="17"/>
      <c r="C15" s="17"/>
      <c r="D15" s="74"/>
      <c r="E15" s="74"/>
      <c r="F15" s="74"/>
      <c r="G15" s="74"/>
      <c r="H15" s="74"/>
      <c r="I15" s="74"/>
      <c r="J15" s="74"/>
      <c r="K15" s="74"/>
      <c r="L15" s="74"/>
      <c r="M15" s="74"/>
    </row>
    <row r="16" spans="1:19" x14ac:dyDescent="0.3">
      <c r="A16" s="150" t="s">
        <v>146</v>
      </c>
      <c r="B16" s="150"/>
      <c r="C16" s="150"/>
      <c r="D16" s="150"/>
      <c r="E16" s="150"/>
      <c r="F16" s="150"/>
      <c r="G16" s="150"/>
      <c r="H16" s="150"/>
      <c r="I16" s="150"/>
      <c r="J16" s="150"/>
      <c r="K16" s="74"/>
      <c r="L16" s="74"/>
      <c r="M16" s="74"/>
    </row>
    <row r="17" spans="1:24" x14ac:dyDescent="0.3">
      <c r="A17" s="51"/>
      <c r="B17" s="51"/>
      <c r="C17" s="51"/>
      <c r="D17" s="51"/>
      <c r="E17" s="51"/>
      <c r="F17" s="51"/>
      <c r="G17" s="51"/>
      <c r="H17" s="51"/>
      <c r="I17" s="51"/>
      <c r="J17" s="51"/>
      <c r="K17" s="74"/>
      <c r="L17" s="74"/>
      <c r="M17" s="74"/>
    </row>
    <row r="18" spans="1:24" ht="19.5" customHeight="1" x14ac:dyDescent="0.3">
      <c r="A18" s="157" t="s">
        <v>189</v>
      </c>
      <c r="B18" s="157"/>
      <c r="C18" s="157"/>
      <c r="D18" s="157"/>
      <c r="E18" s="51"/>
      <c r="F18" s="51"/>
      <c r="G18" s="51"/>
      <c r="H18" s="51"/>
      <c r="I18" s="51"/>
      <c r="J18" s="51"/>
      <c r="K18" s="74"/>
      <c r="L18" s="74"/>
      <c r="M18" s="74"/>
    </row>
    <row r="19" spans="1:24" ht="16.5" customHeight="1" x14ac:dyDescent="0.3">
      <c r="A19" s="158" t="s">
        <v>190</v>
      </c>
      <c r="B19" s="158"/>
      <c r="C19" s="158"/>
      <c r="D19" s="158"/>
      <c r="E19" s="158"/>
      <c r="F19" s="158"/>
      <c r="G19" s="158"/>
      <c r="H19" s="158"/>
      <c r="I19" s="158"/>
      <c r="J19" s="51"/>
      <c r="K19" s="74"/>
      <c r="L19" s="74"/>
      <c r="M19" s="74"/>
    </row>
    <row r="20" spans="1:24" ht="16.5" customHeight="1" x14ac:dyDescent="0.3">
      <c r="A20" s="159" t="s">
        <v>192</v>
      </c>
      <c r="B20" s="159"/>
      <c r="C20" s="159"/>
      <c r="D20" s="159"/>
      <c r="E20" s="159"/>
      <c r="F20" s="159"/>
      <c r="G20" s="159"/>
      <c r="H20" s="159"/>
      <c r="I20" s="159"/>
      <c r="J20" s="159"/>
      <c r="K20" s="159"/>
      <c r="L20" s="159"/>
      <c r="M20" s="74"/>
    </row>
    <row r="21" spans="1:24" x14ac:dyDescent="0.3">
      <c r="A21" s="159"/>
      <c r="B21" s="159"/>
      <c r="C21" s="159"/>
      <c r="D21" s="159"/>
      <c r="E21" s="159"/>
      <c r="F21" s="159"/>
      <c r="G21" s="159"/>
      <c r="H21" s="159"/>
      <c r="I21" s="159"/>
      <c r="J21" s="159"/>
      <c r="K21" s="159"/>
      <c r="L21" s="159"/>
      <c r="M21" s="74"/>
    </row>
    <row r="22" spans="1:24" ht="13.5" customHeight="1" x14ac:dyDescent="0.3">
      <c r="A22" s="51"/>
      <c r="B22" s="51"/>
      <c r="C22" s="51"/>
      <c r="D22" s="51"/>
      <c r="E22" s="51"/>
      <c r="F22" s="51"/>
      <c r="G22" s="51"/>
      <c r="H22" s="51"/>
      <c r="I22" s="51"/>
      <c r="J22" s="51"/>
      <c r="K22" s="74"/>
      <c r="L22" s="74"/>
      <c r="M22" s="74"/>
    </row>
    <row r="23" spans="1:24" x14ac:dyDescent="0.3">
      <c r="A23" s="150" t="s">
        <v>147</v>
      </c>
      <c r="B23" s="150"/>
      <c r="C23" s="150"/>
      <c r="D23" s="150"/>
      <c r="E23" s="150"/>
      <c r="F23" s="150"/>
      <c r="G23" s="150"/>
      <c r="H23" s="150"/>
      <c r="I23" s="150"/>
      <c r="J23" s="150"/>
      <c r="K23" s="74"/>
      <c r="L23" s="74"/>
      <c r="M23" s="74"/>
    </row>
    <row r="24" spans="1:24" x14ac:dyDescent="0.3">
      <c r="A24" s="51"/>
      <c r="B24" s="51"/>
      <c r="C24" s="51"/>
      <c r="D24" s="51"/>
      <c r="E24" s="51"/>
      <c r="F24" s="51"/>
      <c r="G24" s="51"/>
      <c r="H24" s="51"/>
      <c r="I24" s="51"/>
      <c r="J24" s="51"/>
      <c r="K24" s="74"/>
      <c r="L24" s="74"/>
      <c r="M24" s="74"/>
    </row>
    <row r="25" spans="1:24" ht="24" customHeight="1" x14ac:dyDescent="0.3">
      <c r="A25" s="51"/>
      <c r="B25" s="88" t="s">
        <v>141</v>
      </c>
      <c r="C25" s="88" t="s">
        <v>142</v>
      </c>
      <c r="D25" s="88" t="s">
        <v>143</v>
      </c>
      <c r="E25" s="51"/>
      <c r="F25" s="90" t="s">
        <v>150</v>
      </c>
      <c r="G25" s="51"/>
      <c r="H25" s="51"/>
      <c r="I25" s="51"/>
      <c r="J25" s="51"/>
      <c r="K25" s="74"/>
      <c r="L25" s="74"/>
      <c r="M25" s="74"/>
      <c r="P25" s="74"/>
      <c r="Q25" s="86" t="s">
        <v>193</v>
      </c>
      <c r="R25" s="74"/>
      <c r="S25" s="74"/>
      <c r="T25" s="74"/>
      <c r="U25" s="74"/>
      <c r="V25" s="74"/>
      <c r="W25" s="74"/>
      <c r="X25" s="74"/>
    </row>
    <row r="26" spans="1:24" ht="18" x14ac:dyDescent="0.3">
      <c r="A26" s="89" t="s">
        <v>148</v>
      </c>
      <c r="B26" s="89" t="s">
        <v>56</v>
      </c>
      <c r="C26" s="89">
        <v>32</v>
      </c>
      <c r="D26" s="89">
        <v>0.41</v>
      </c>
      <c r="P26" s="78" t="s">
        <v>127</v>
      </c>
      <c r="Q26" s="80">
        <v>1</v>
      </c>
      <c r="R26" s="17"/>
      <c r="S26" s="74"/>
      <c r="T26" s="74" t="s">
        <v>196</v>
      </c>
      <c r="U26" s="74"/>
      <c r="V26" s="74"/>
      <c r="W26" s="74"/>
      <c r="X26" s="74"/>
    </row>
    <row r="27" spans="1:24" ht="24" x14ac:dyDescent="0.3">
      <c r="A27" s="89" t="s">
        <v>149</v>
      </c>
      <c r="B27" s="89">
        <v>1</v>
      </c>
      <c r="C27" s="89">
        <v>0.1905</v>
      </c>
      <c r="D27" s="89">
        <v>0.41</v>
      </c>
      <c r="P27" s="78"/>
      <c r="Q27" s="17"/>
      <c r="R27" s="17"/>
      <c r="S27" s="74"/>
      <c r="T27" s="87" t="s">
        <v>197</v>
      </c>
      <c r="U27" s="74"/>
      <c r="V27" s="74"/>
      <c r="W27" s="74" t="s">
        <v>200</v>
      </c>
      <c r="X27" s="74"/>
    </row>
    <row r="28" spans="1:24" ht="24" x14ac:dyDescent="0.3">
      <c r="P28" s="78"/>
      <c r="Q28" s="17"/>
      <c r="R28" s="17"/>
      <c r="T28" s="79">
        <v>4</v>
      </c>
      <c r="U28" s="74"/>
      <c r="V28" s="74"/>
      <c r="W28" s="87" t="s">
        <v>201</v>
      </c>
      <c r="X28" s="74"/>
    </row>
    <row r="29" spans="1:24" ht="26.25" x14ac:dyDescent="0.3">
      <c r="P29" s="78"/>
      <c r="Q29" s="86" t="s">
        <v>194</v>
      </c>
      <c r="R29" s="17"/>
      <c r="S29" s="74"/>
      <c r="T29" s="74"/>
      <c r="U29" s="74"/>
      <c r="V29" s="74"/>
      <c r="W29" s="156">
        <v>6</v>
      </c>
      <c r="X29" s="74"/>
    </row>
    <row r="30" spans="1:24" ht="26.25" x14ac:dyDescent="0.3">
      <c r="B30" s="101" t="s">
        <v>172</v>
      </c>
      <c r="C30" s="83">
        <f>B27</f>
        <v>1</v>
      </c>
      <c r="E30" s="90" t="s">
        <v>178</v>
      </c>
      <c r="F30" s="93">
        <f>1/(1+H30)</f>
        <v>0.38559896210924188</v>
      </c>
      <c r="G30" s="92">
        <f>EXP(1)</f>
        <v>2.7182818284590451</v>
      </c>
      <c r="H30" s="92">
        <f>POWER(G30,-C33)</f>
        <v>1.5933679762257649</v>
      </c>
      <c r="P30" s="78" t="s">
        <v>53</v>
      </c>
      <c r="Q30" s="80">
        <v>2</v>
      </c>
      <c r="R30" s="17"/>
      <c r="S30" s="74"/>
      <c r="T30" s="74" t="s">
        <v>198</v>
      </c>
      <c r="U30" s="74"/>
      <c r="V30" s="74"/>
      <c r="W30" s="156"/>
      <c r="X30" s="74" t="s">
        <v>128</v>
      </c>
    </row>
    <row r="31" spans="1:24" ht="26.25" x14ac:dyDescent="0.3">
      <c r="B31" s="101" t="s">
        <v>173</v>
      </c>
      <c r="C31" s="93">
        <f>C27</f>
        <v>0.1905</v>
      </c>
      <c r="E31" s="90" t="s">
        <v>179</v>
      </c>
      <c r="F31" s="93">
        <f t="shared" ref="F31" si="0">1/(1+H31)</f>
        <v>0.55480393489543078</v>
      </c>
      <c r="G31" s="92">
        <f t="shared" ref="G31:G32" si="1">EXP(1)</f>
        <v>2.7182818284590451</v>
      </c>
      <c r="H31" s="92">
        <f t="shared" ref="H31" si="2">POWER(G31,-C34)</f>
        <v>0.80243855009514242</v>
      </c>
      <c r="P31" s="78"/>
      <c r="Q31" s="17"/>
      <c r="R31" s="17"/>
      <c r="S31" s="74"/>
      <c r="T31" s="87" t="s">
        <v>199</v>
      </c>
      <c r="U31" s="74"/>
      <c r="V31" s="74"/>
      <c r="W31" s="74"/>
      <c r="X31" s="74"/>
    </row>
    <row r="32" spans="1:24" ht="26.25" x14ac:dyDescent="0.45">
      <c r="B32" s="101" t="s">
        <v>174</v>
      </c>
      <c r="C32" s="93">
        <f>D27</f>
        <v>0.41</v>
      </c>
      <c r="E32" s="90" t="s">
        <v>180</v>
      </c>
      <c r="F32" s="93">
        <f>1/(1+H32)</f>
        <v>0.63125423405850711</v>
      </c>
      <c r="G32" s="92">
        <f t="shared" si="1"/>
        <v>2.7182818284590451</v>
      </c>
      <c r="H32" s="92">
        <f>POWER(G32,-C35)</f>
        <v>0.58414779029793584</v>
      </c>
      <c r="P32" s="78"/>
      <c r="Q32" s="17"/>
      <c r="R32" s="17"/>
      <c r="S32" s="74"/>
      <c r="T32" s="79">
        <v>5</v>
      </c>
      <c r="U32" s="74"/>
      <c r="V32" s="74"/>
      <c r="W32" s="94" t="s">
        <v>151</v>
      </c>
      <c r="X32">
        <v>8.583380965623498E-2</v>
      </c>
    </row>
    <row r="33" spans="1:24" ht="26.25" x14ac:dyDescent="0.45">
      <c r="B33" s="101" t="s">
        <v>175</v>
      </c>
      <c r="C33" s="93">
        <f>L8*B27+N8*C27+P8*D27+L5</f>
        <v>-0.46584999999999999</v>
      </c>
      <c r="K33" s="94" t="s">
        <v>171</v>
      </c>
      <c r="L33">
        <f>F30*(1-F30)*(L11-F30)</f>
        <v>0.14555922600332849</v>
      </c>
      <c r="P33" s="78"/>
      <c r="Q33" s="86" t="s">
        <v>195</v>
      </c>
      <c r="R33" s="17"/>
      <c r="S33" s="74"/>
      <c r="T33" s="74"/>
      <c r="U33" s="74"/>
      <c r="V33" s="74"/>
      <c r="W33" s="74"/>
      <c r="X33" s="74"/>
    </row>
    <row r="34" spans="1:24" ht="26.25" x14ac:dyDescent="0.45">
      <c r="B34" s="101" t="s">
        <v>176</v>
      </c>
      <c r="C34" s="93">
        <f>M8*B27+O8*C27+Q8*D27+M5</f>
        <v>0.22009999999999996</v>
      </c>
      <c r="K34" s="94" t="s">
        <v>170</v>
      </c>
      <c r="L34">
        <f>F31*(1-F31)*(L11-F31)</f>
        <v>0.10996188268062165</v>
      </c>
      <c r="P34" s="78" t="s">
        <v>54</v>
      </c>
      <c r="Q34" s="80">
        <v>3</v>
      </c>
      <c r="R34" s="17"/>
      <c r="S34" s="74"/>
      <c r="T34" s="74"/>
      <c r="U34" s="74"/>
      <c r="V34" s="74"/>
      <c r="W34" s="74"/>
      <c r="X34" s="74"/>
    </row>
    <row r="35" spans="1:24" ht="26.25" x14ac:dyDescent="0.45">
      <c r="B35" s="101" t="s">
        <v>177</v>
      </c>
      <c r="C35" s="93">
        <f>R8*F30+S8*F31+N5</f>
        <v>0.53760126259094498</v>
      </c>
      <c r="K35" s="94" t="s">
        <v>151</v>
      </c>
      <c r="L35">
        <f>F32*(1-F32)*(L11-F32)</f>
        <v>8.583380965623498E-2</v>
      </c>
    </row>
    <row r="37" spans="1:24" x14ac:dyDescent="0.3">
      <c r="A37" s="25" t="s">
        <v>152</v>
      </c>
    </row>
    <row r="39" spans="1:24" x14ac:dyDescent="0.3">
      <c r="D39" s="95" t="s">
        <v>153</v>
      </c>
      <c r="E39" s="96">
        <v>0.9</v>
      </c>
    </row>
    <row r="41" spans="1:24" x14ac:dyDescent="0.3">
      <c r="H41" s="13"/>
      <c r="I41" s="13"/>
      <c r="J41" s="13"/>
    </row>
    <row r="42" spans="1:24" x14ac:dyDescent="0.3">
      <c r="H42" s="13"/>
      <c r="I42" s="13"/>
      <c r="J42" s="13"/>
    </row>
    <row r="44" spans="1:24" ht="24" x14ac:dyDescent="0.3">
      <c r="B44" s="97" t="s">
        <v>154</v>
      </c>
      <c r="C44" s="93">
        <f>$E$39*$L$33*B27</f>
        <v>0.13100330340299565</v>
      </c>
      <c r="E44" s="26" t="s">
        <v>162</v>
      </c>
      <c r="F44" s="93">
        <f>L$8+C44</f>
        <v>0.23100330340299566</v>
      </c>
      <c r="H44" s="82" t="s">
        <v>191</v>
      </c>
      <c r="I44" s="128">
        <f>$E$39*L33</f>
        <v>0.13100330340299565</v>
      </c>
      <c r="J44" s="92">
        <f>EXP(1)</f>
        <v>2.7182818284590451</v>
      </c>
    </row>
    <row r="45" spans="1:24" ht="26.25" x14ac:dyDescent="0.35">
      <c r="B45" s="97" t="s">
        <v>155</v>
      </c>
      <c r="C45" s="93">
        <f>$E$39*$L$34*B27</f>
        <v>9.8965694412559493E-2</v>
      </c>
      <c r="E45" s="26" t="s">
        <v>163</v>
      </c>
      <c r="F45" s="93">
        <f>M$8+C45</f>
        <v>-0.10103430558744052</v>
      </c>
      <c r="H45" s="82" t="s">
        <v>191</v>
      </c>
      <c r="I45" s="128">
        <f t="shared" ref="I45:I46" si="3">$E$39*L34</f>
        <v>9.8965694412559493E-2</v>
      </c>
      <c r="J45" s="92">
        <f t="shared" ref="J45:J46" si="4">EXP(1)</f>
        <v>2.7182818284590451</v>
      </c>
      <c r="K45" s="101" t="s">
        <v>175</v>
      </c>
      <c r="L45" s="93">
        <f>F44*AVERAGE(C44:C45)+F46*AVERAGE(C46:C47)+F48*AVERAGE(C48:C49)+I48</f>
        <v>-0.34692782505402298</v>
      </c>
      <c r="N45" s="90" t="s">
        <v>178</v>
      </c>
      <c r="O45" s="93">
        <f>1/(1+Q45)</f>
        <v>0.41412761321688601</v>
      </c>
      <c r="P45" s="92">
        <f>EXP(1)</f>
        <v>2.7182818284590451</v>
      </c>
      <c r="Q45" s="92">
        <f>POWER(P45,-L45)</f>
        <v>1.4147146147346668</v>
      </c>
    </row>
    <row r="46" spans="1:24" ht="26.25" x14ac:dyDescent="0.35">
      <c r="B46" s="97" t="s">
        <v>156</v>
      </c>
      <c r="C46" s="93">
        <f>$E$39*$L$33*C27</f>
        <v>2.4956129298270673E-2</v>
      </c>
      <c r="E46" s="26" t="s">
        <v>164</v>
      </c>
      <c r="F46" s="93">
        <f>N$8+C46</f>
        <v>0.32495612929827067</v>
      </c>
      <c r="H46" s="82" t="s">
        <v>191</v>
      </c>
      <c r="I46" s="128">
        <f t="shared" si="3"/>
        <v>7.7250428690611481E-2</v>
      </c>
      <c r="J46" s="92">
        <f t="shared" si="4"/>
        <v>2.7182818284590451</v>
      </c>
      <c r="K46" s="101" t="s">
        <v>176</v>
      </c>
      <c r="L46" s="93">
        <f>F45*AVERAGE(C44:C45)+F47*AVERAGE(C46:C47)+F49*AVERAGE(C48:C49)+I49</f>
        <v>0.4034838168282433</v>
      </c>
      <c r="N46" s="90" t="s">
        <v>179</v>
      </c>
      <c r="O46" s="93">
        <f t="shared" ref="O46" si="5">1/(1+Q46)</f>
        <v>0.59952439601739915</v>
      </c>
      <c r="P46" s="92">
        <f t="shared" ref="P46:P47" si="6">EXP(1)</f>
        <v>2.7182818284590451</v>
      </c>
      <c r="Q46" s="92">
        <f t="shared" ref="Q46" si="7">POWER(P46,-L46)</f>
        <v>0.66798883688959743</v>
      </c>
    </row>
    <row r="47" spans="1:24" ht="26.25" x14ac:dyDescent="0.35">
      <c r="B47" s="97" t="s">
        <v>157</v>
      </c>
      <c r="C47" s="93">
        <f>$E$39*$L$34*C27</f>
        <v>1.8852964785592584E-2</v>
      </c>
      <c r="E47" s="26" t="s">
        <v>165</v>
      </c>
      <c r="F47" s="93">
        <f>O$8+C47</f>
        <v>0.2188529647855926</v>
      </c>
      <c r="H47" s="127"/>
      <c r="I47" s="128"/>
      <c r="K47" s="101" t="s">
        <v>177</v>
      </c>
      <c r="L47" s="93">
        <f>F50*O45+F51*O46+I50</f>
        <v>0.67932929525704688</v>
      </c>
      <c r="N47" s="90" t="s">
        <v>180</v>
      </c>
      <c r="O47" s="93">
        <f>1/(1+Q47)</f>
        <v>0.66358898661924171</v>
      </c>
      <c r="P47" s="92">
        <f t="shared" si="6"/>
        <v>2.7182818284590451</v>
      </c>
      <c r="Q47" s="92">
        <f>POWER(P47,-L47)</f>
        <v>0.5069568967602327</v>
      </c>
    </row>
    <row r="48" spans="1:24" ht="24" x14ac:dyDescent="0.35">
      <c r="B48" s="97" t="s">
        <v>158</v>
      </c>
      <c r="C48" s="93">
        <f>$E$39*$L$33*D27</f>
        <v>5.3711354395228214E-2</v>
      </c>
      <c r="E48" s="26" t="s">
        <v>166</v>
      </c>
      <c r="F48" s="93">
        <f>P$8+C48</f>
        <v>-0.24628864560477176</v>
      </c>
      <c r="H48" s="82" t="s">
        <v>129</v>
      </c>
      <c r="I48" s="128">
        <f>L5+I44</f>
        <v>-0.36899669659700435</v>
      </c>
    </row>
    <row r="49" spans="2:12" ht="24" x14ac:dyDescent="0.35">
      <c r="B49" s="97" t="s">
        <v>159</v>
      </c>
      <c r="C49" s="93">
        <f>$E$39*$L$34*D27</f>
        <v>4.0575934709149393E-2</v>
      </c>
      <c r="E49" s="26" t="s">
        <v>167</v>
      </c>
      <c r="F49" s="93">
        <f>Q$8+C49</f>
        <v>0.2405759347091494</v>
      </c>
      <c r="H49" s="82" t="s">
        <v>130</v>
      </c>
      <c r="I49" s="128">
        <f>M5+I45</f>
        <v>0.39896569441255947</v>
      </c>
    </row>
    <row r="50" spans="2:12" ht="26.25" x14ac:dyDescent="0.45">
      <c r="B50" s="97" t="s">
        <v>160</v>
      </c>
      <c r="C50" s="93">
        <f>$E$39*$L$35*F30</f>
        <v>2.978768512559379E-2</v>
      </c>
      <c r="E50" s="26" t="s">
        <v>168</v>
      </c>
      <c r="F50" s="93">
        <f>R$8+C50</f>
        <v>0.32978768512559375</v>
      </c>
      <c r="H50" s="82" t="s">
        <v>131</v>
      </c>
      <c r="I50" s="128">
        <f>N5+I46</f>
        <v>0.27725042869061151</v>
      </c>
      <c r="K50" s="94" t="s">
        <v>151</v>
      </c>
      <c r="L50">
        <f>O47*(1-O47)*($L$11-O47)</f>
        <v>7.5099938271078012E-2</v>
      </c>
    </row>
    <row r="51" spans="2:12" ht="20.25" x14ac:dyDescent="0.35">
      <c r="B51" s="97" t="s">
        <v>161</v>
      </c>
      <c r="C51" s="93">
        <f>$E$39*$L$35*F31</f>
        <v>4.2858841809910134E-2</v>
      </c>
      <c r="E51" s="26" t="s">
        <v>169</v>
      </c>
      <c r="F51" s="93">
        <f>S$8+C51</f>
        <v>0.44285884180991014</v>
      </c>
      <c r="H51" s="127"/>
      <c r="I51" s="74"/>
    </row>
  </sheetData>
  <mergeCells count="8">
    <mergeCell ref="W29:W30"/>
    <mergeCell ref="A2:J2"/>
    <mergeCell ref="H9:H10"/>
    <mergeCell ref="A23:J23"/>
    <mergeCell ref="A16:J16"/>
    <mergeCell ref="A18:D18"/>
    <mergeCell ref="A19:I19"/>
    <mergeCell ref="A20:L2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M53"/>
  <sheetViews>
    <sheetView zoomScale="67" zoomScaleNormal="67" workbookViewId="0">
      <selection activeCell="Z8" sqref="Z8"/>
    </sheetView>
  </sheetViews>
  <sheetFormatPr baseColWidth="10" defaultRowHeight="16.5" x14ac:dyDescent="0.3"/>
  <cols>
    <col min="1" max="1" width="9.375" customWidth="1"/>
    <col min="5" max="5" width="4.875" customWidth="1"/>
    <col min="6" max="6" width="6.5" customWidth="1"/>
    <col min="7" max="7" width="6" customWidth="1"/>
    <col min="8" max="8" width="6.375" customWidth="1"/>
    <col min="9" max="9" width="7.5" customWidth="1"/>
    <col min="10" max="10" width="7.125" customWidth="1"/>
    <col min="11" max="12" width="6.5" customWidth="1"/>
    <col min="13" max="13" width="4.375" customWidth="1"/>
    <col min="14" max="15" width="6.75" customWidth="1"/>
  </cols>
  <sheetData>
    <row r="1" spans="1:13" ht="18.75" x14ac:dyDescent="0.3">
      <c r="A1" s="24" t="s">
        <v>101</v>
      </c>
    </row>
    <row r="2" spans="1:13" ht="16.5" customHeight="1" x14ac:dyDescent="0.3">
      <c r="A2" s="155" t="s">
        <v>202</v>
      </c>
      <c r="B2" s="155"/>
      <c r="C2" s="155"/>
      <c r="D2" s="155"/>
      <c r="E2" s="155"/>
      <c r="F2" s="155"/>
      <c r="G2" s="155"/>
      <c r="H2" s="155"/>
      <c r="I2" s="155"/>
      <c r="J2" s="155"/>
      <c r="K2" s="155"/>
      <c r="L2" s="155"/>
      <c r="M2" s="155"/>
    </row>
    <row r="3" spans="1:13" x14ac:dyDescent="0.3">
      <c r="A3" s="155"/>
      <c r="B3" s="155"/>
      <c r="C3" s="155"/>
      <c r="D3" s="155"/>
      <c r="E3" s="155"/>
      <c r="F3" s="155"/>
      <c r="G3" s="155"/>
      <c r="H3" s="155"/>
      <c r="I3" s="155"/>
      <c r="J3" s="155"/>
      <c r="K3" s="155"/>
      <c r="L3" s="155"/>
      <c r="M3" s="155"/>
    </row>
    <row r="5" spans="1:13" x14ac:dyDescent="0.3">
      <c r="A5" s="22" t="s">
        <v>51</v>
      </c>
      <c r="B5" s="21" t="s">
        <v>53</v>
      </c>
      <c r="C5" s="21" t="s">
        <v>54</v>
      </c>
      <c r="F5" t="s">
        <v>63</v>
      </c>
      <c r="G5" t="s">
        <v>64</v>
      </c>
      <c r="H5" t="s">
        <v>65</v>
      </c>
      <c r="I5" t="s">
        <v>66</v>
      </c>
      <c r="J5" t="s">
        <v>67</v>
      </c>
      <c r="K5" t="s">
        <v>68</v>
      </c>
      <c r="L5" t="s">
        <v>69</v>
      </c>
      <c r="M5" t="s">
        <v>70</v>
      </c>
    </row>
    <row r="6" spans="1:13" x14ac:dyDescent="0.3">
      <c r="A6" s="21" t="s">
        <v>63</v>
      </c>
      <c r="B6" s="130">
        <v>0</v>
      </c>
      <c r="C6" s="130">
        <v>0.1</v>
      </c>
      <c r="E6" t="s">
        <v>63</v>
      </c>
      <c r="F6" s="98">
        <f t="shared" ref="F6:F8" si="0">($B$6-B6)*($B$6-B6)+($C$6-C6)*($C$6-C6)</f>
        <v>0</v>
      </c>
    </row>
    <row r="7" spans="1:13" x14ac:dyDescent="0.3">
      <c r="A7" s="21" t="s">
        <v>64</v>
      </c>
      <c r="B7" s="130">
        <v>0.79365079365079361</v>
      </c>
      <c r="C7" s="130">
        <v>0.3</v>
      </c>
      <c r="E7" t="s">
        <v>64</v>
      </c>
      <c r="F7" s="91">
        <f t="shared" si="0"/>
        <v>0.66988158226253458</v>
      </c>
      <c r="G7" s="98">
        <v>0</v>
      </c>
    </row>
    <row r="8" spans="1:13" x14ac:dyDescent="0.3">
      <c r="A8" s="21" t="s">
        <v>65</v>
      </c>
      <c r="B8" s="130">
        <v>0.38095238095238093</v>
      </c>
      <c r="C8" s="130">
        <v>0.08</v>
      </c>
      <c r="E8" t="s">
        <v>65</v>
      </c>
      <c r="F8" s="91">
        <f t="shared" si="0"/>
        <v>0.14552471655328797</v>
      </c>
      <c r="G8" s="91">
        <f>($B$7-B8)*($B$7-B8)+($C$7-C8)*($C$7-C8)</f>
        <v>0.21871997984378935</v>
      </c>
      <c r="H8" s="98">
        <v>0</v>
      </c>
    </row>
    <row r="9" spans="1:13" x14ac:dyDescent="0.3">
      <c r="A9" s="21" t="s">
        <v>66</v>
      </c>
      <c r="B9" s="130">
        <v>0.19047619047619047</v>
      </c>
      <c r="C9" s="130">
        <v>0.41</v>
      </c>
      <c r="E9" t="s">
        <v>66</v>
      </c>
      <c r="F9" s="91">
        <f>($B$6-B9)*($B$6-B9)+($C$6-C9)*($C$6-C9)</f>
        <v>0.13238117913832195</v>
      </c>
      <c r="G9" s="91">
        <f t="shared" ref="G9:G13" si="1">($B$7-B9)*($B$7-B9)+($C$7-C9)*($C$7-C9)</f>
        <v>0.37591960191483997</v>
      </c>
      <c r="H9" s="91">
        <f>($B$8-B9)*($B$8-B9)+($C$8-C9)*($C$8-C9)</f>
        <v>0.14518117913832196</v>
      </c>
      <c r="I9" s="98">
        <v>0</v>
      </c>
    </row>
    <row r="10" spans="1:13" x14ac:dyDescent="0.3">
      <c r="A10" s="21" t="s">
        <v>67</v>
      </c>
      <c r="B10" s="130">
        <v>0.96825396825396826</v>
      </c>
      <c r="C10" s="130">
        <v>0.11</v>
      </c>
      <c r="E10" t="s">
        <v>67</v>
      </c>
      <c r="F10" s="91">
        <f t="shared" ref="F10:F13" si="2">($B$6-B10)*($B$6-B10)+($C$6-C10)*($C$6-C10)</f>
        <v>0.93761574703955652</v>
      </c>
      <c r="G10" s="91">
        <f t="shared" si="1"/>
        <v>6.6586268581506694E-2</v>
      </c>
      <c r="H10" s="91">
        <f t="shared" ref="H10:H13" si="3">($B$8-B10)*($B$8-B10)+($C$8-C10)*($C$8-C10)</f>
        <v>0.34582315444696399</v>
      </c>
      <c r="I10" s="91">
        <f>($B$9-B10)*($B$9-B10)+($C$9-C10)*($C$9-C10)</f>
        <v>0.69493827160493826</v>
      </c>
      <c r="J10" s="98">
        <v>0</v>
      </c>
    </row>
    <row r="11" spans="1:13" x14ac:dyDescent="0.3">
      <c r="A11" s="21" t="s">
        <v>68</v>
      </c>
      <c r="B11" s="130">
        <v>0.14285714285714285</v>
      </c>
      <c r="C11" s="130">
        <v>0.06</v>
      </c>
      <c r="E11" t="s">
        <v>68</v>
      </c>
      <c r="F11" s="91">
        <f t="shared" si="2"/>
        <v>2.2008163265306122E-2</v>
      </c>
      <c r="G11" s="91">
        <f t="shared" si="1"/>
        <v>0.48113237591332814</v>
      </c>
      <c r="H11" s="91">
        <f t="shared" si="3"/>
        <v>5.7089342403628111E-2</v>
      </c>
      <c r="I11" s="91">
        <f t="shared" ref="I11:I13" si="4">($B$9-B11)*($B$9-B11)+($C$9-C11)*($C$9-C11)</f>
        <v>0.12476757369614511</v>
      </c>
      <c r="J11" s="91">
        <f>($B$10-B11)*($B$10-B11)+($C$10-C11)*($C$10-C11)</f>
        <v>0.68377991937515736</v>
      </c>
      <c r="K11" s="129">
        <f>($B$11-B11)*($B$11-B11)+($C$11-C11)*($C$11-C11)</f>
        <v>0</v>
      </c>
    </row>
    <row r="12" spans="1:13" x14ac:dyDescent="0.3">
      <c r="A12" s="21" t="s">
        <v>69</v>
      </c>
      <c r="B12" s="130">
        <v>0.36507936507936506</v>
      </c>
      <c r="C12" s="130">
        <v>0.21</v>
      </c>
      <c r="E12" t="s">
        <v>69</v>
      </c>
      <c r="F12" s="91">
        <f t="shared" si="2"/>
        <v>0.14538294280675232</v>
      </c>
      <c r="G12" s="91">
        <f t="shared" si="1"/>
        <v>0.19177346938775508</v>
      </c>
      <c r="H12" s="131">
        <f t="shared" si="3"/>
        <v>1.7151952632905015E-2</v>
      </c>
      <c r="I12" s="91">
        <f t="shared" si="4"/>
        <v>7.0486268581506667E-2</v>
      </c>
      <c r="J12" s="91">
        <f t="shared" ref="J12:J13" si="5">($B$10-B12)*($B$10-B12)+($C$10-C12)*($C$10-C12)</f>
        <v>0.37381960191484009</v>
      </c>
      <c r="K12" s="91">
        <f>($B$11-B12)*($B$11-B12)+($C$11-C12)*($C$11-C12)</f>
        <v>7.1882716049382706E-2</v>
      </c>
      <c r="L12" s="129">
        <f>($B$12-B12)*($B$12-B12)+($C$12-C12)*($C$12-C12)</f>
        <v>0</v>
      </c>
    </row>
    <row r="13" spans="1:13" x14ac:dyDescent="0.3">
      <c r="A13" s="21" t="s">
        <v>70</v>
      </c>
      <c r="B13" s="130">
        <v>1</v>
      </c>
      <c r="C13" s="130">
        <v>0.38</v>
      </c>
      <c r="E13" t="s">
        <v>70</v>
      </c>
      <c r="F13" s="91">
        <f t="shared" si="2"/>
        <v>1.0784</v>
      </c>
      <c r="G13" s="91">
        <f t="shared" si="1"/>
        <v>4.8979994960947362E-2</v>
      </c>
      <c r="H13" s="91">
        <f t="shared" si="3"/>
        <v>0.47321995464852606</v>
      </c>
      <c r="I13" s="91">
        <f t="shared" si="4"/>
        <v>0.65622879818594104</v>
      </c>
      <c r="J13" s="91">
        <f t="shared" si="5"/>
        <v>7.3907810531620058E-2</v>
      </c>
      <c r="K13" s="91">
        <f>($B$11-B13)*($B$11-B13)+($C$11-C13)*($C$11-C13)</f>
        <v>0.8370938775510206</v>
      </c>
      <c r="L13" s="91">
        <f>($B$12-B13)*($B$12-B13)+($C$12-C13)*($C$12-C13)</f>
        <v>0.4320242126480221</v>
      </c>
      <c r="M13" s="98">
        <v>0</v>
      </c>
    </row>
    <row r="14" spans="1:13" x14ac:dyDescent="0.3">
      <c r="A14" s="21" t="s">
        <v>203</v>
      </c>
    </row>
    <row r="16" spans="1:13" x14ac:dyDescent="0.3">
      <c r="F16" t="s">
        <v>63</v>
      </c>
      <c r="G16" t="s">
        <v>64</v>
      </c>
      <c r="H16" t="s">
        <v>66</v>
      </c>
      <c r="I16" t="s">
        <v>67</v>
      </c>
      <c r="J16" t="s">
        <v>68</v>
      </c>
      <c r="K16" t="s">
        <v>70</v>
      </c>
      <c r="L16" t="s">
        <v>203</v>
      </c>
    </row>
    <row r="17" spans="1:12" x14ac:dyDescent="0.3">
      <c r="E17" t="s">
        <v>63</v>
      </c>
      <c r="F17" s="98">
        <f>($B$6-B6)*($B$6-B6)+($C$6-C6)*($C$6-C6)</f>
        <v>0</v>
      </c>
    </row>
    <row r="18" spans="1:12" x14ac:dyDescent="0.3">
      <c r="A18" s="160" t="s">
        <v>205</v>
      </c>
      <c r="B18" s="160"/>
      <c r="E18" t="s">
        <v>64</v>
      </c>
      <c r="F18" s="91">
        <f>($B$6-B7)*($B$6-B7)+($C$6-C7)*($C$6-C7)</f>
        <v>0.66988158226253458</v>
      </c>
      <c r="G18" s="98">
        <v>0</v>
      </c>
    </row>
    <row r="19" spans="1:12" x14ac:dyDescent="0.3">
      <c r="E19" t="s">
        <v>66</v>
      </c>
      <c r="F19" s="91">
        <f>($B$6-B9)*($B$6-B9)+($C$6-C9)*($C$6-C9)</f>
        <v>0.13238117913832195</v>
      </c>
      <c r="G19" s="91">
        <f>($B$7-B9)*($B$7-B9)+($C$7-C9)*($C$7-C9)</f>
        <v>0.37591960191483997</v>
      </c>
      <c r="H19" s="98">
        <v>0</v>
      </c>
    </row>
    <row r="20" spans="1:12" x14ac:dyDescent="0.3">
      <c r="E20" t="s">
        <v>67</v>
      </c>
      <c r="F20" s="91">
        <f>($B$6-B10)*($B$6-B10)+($C$6-C10)*($C$6-C10)</f>
        <v>0.93761574703955652</v>
      </c>
      <c r="G20" s="91">
        <f>($B$7-B10)*($B$7-B10)+($C$7-C10)*($C$7-C10)</f>
        <v>6.6586268581506694E-2</v>
      </c>
      <c r="H20" s="91">
        <f>($B$9-B10)*($B$9-B10)+($C$9-C10)*($C$9-C10)</f>
        <v>0.69493827160493826</v>
      </c>
      <c r="I20" s="98">
        <v>0</v>
      </c>
    </row>
    <row r="21" spans="1:12" x14ac:dyDescent="0.3">
      <c r="E21" t="s">
        <v>68</v>
      </c>
      <c r="F21" s="131">
        <f>($B$6-B11)*($B$6-B11)+($C$6-C11)*($C$6-C11)</f>
        <v>2.2008163265306122E-2</v>
      </c>
      <c r="G21" s="91">
        <f>($B$7-B11)*($B$7-B11)+($C$7-C11)*($C$7-C11)</f>
        <v>0.48113237591332814</v>
      </c>
      <c r="H21" s="91">
        <f>($B$9-B11)*($B$9-B11)+($C$9-C11)*($C$9-C11)</f>
        <v>0.12476757369614511</v>
      </c>
      <c r="I21" s="91">
        <f>($B$10-B11)*($B$10-B11)+($C$10-C11)*($C$10-C11)</f>
        <v>0.68377991937515736</v>
      </c>
      <c r="J21" s="129">
        <f>($B$11-B22)*($B$11-B22)+($C$11-C22)*($C$11-C22)</f>
        <v>2.400816326530612E-2</v>
      </c>
    </row>
    <row r="22" spans="1:12" x14ac:dyDescent="0.3">
      <c r="E22" t="s">
        <v>70</v>
      </c>
      <c r="F22" s="91">
        <f>($B$6-B13)*($B$6-B13)+($C$6-C13)*($C$6-C13)</f>
        <v>1.0784</v>
      </c>
      <c r="G22" s="91">
        <f>($B$7-B13)*($B$7-B13)+($C$7-C13)*($C$7-C13)</f>
        <v>4.8979994960947362E-2</v>
      </c>
      <c r="H22" s="91">
        <f>($B$9-B13)*($B$9-B13)+($C$9-C13)*($C$9-C13)</f>
        <v>0.65622879818594104</v>
      </c>
      <c r="I22" s="91">
        <f>($B$10-B13)*($B$10-B13)+($C$10-C13)*($C$10-C13)</f>
        <v>7.3907810531620058E-2</v>
      </c>
      <c r="J22" s="91">
        <f>($B$11-B13)*($B$11-B13)+($C$11-C13)*($C$11-C13)</f>
        <v>0.8370938775510206</v>
      </c>
      <c r="K22" s="98">
        <v>0</v>
      </c>
    </row>
    <row r="23" spans="1:12" x14ac:dyDescent="0.3">
      <c r="E23" t="s">
        <v>203</v>
      </c>
      <c r="F23" s="91">
        <v>0.14538294280675232</v>
      </c>
      <c r="G23" s="91">
        <v>0.19177346938775508</v>
      </c>
      <c r="H23" s="91">
        <v>7.0486268581506667E-2</v>
      </c>
      <c r="I23" s="91">
        <v>0.34582315444696399</v>
      </c>
      <c r="J23" s="91">
        <v>5.7089342403628111E-2</v>
      </c>
      <c r="K23">
        <v>0.4320242126480221</v>
      </c>
      <c r="L23" s="98">
        <v>0</v>
      </c>
    </row>
    <row r="25" spans="1:12" x14ac:dyDescent="0.3">
      <c r="A25" s="160" t="s">
        <v>206</v>
      </c>
      <c r="B25" s="160"/>
      <c r="F25" t="s">
        <v>64</v>
      </c>
      <c r="G25" t="s">
        <v>66</v>
      </c>
      <c r="H25" t="s">
        <v>67</v>
      </c>
      <c r="I25" t="s">
        <v>70</v>
      </c>
      <c r="J25" t="s">
        <v>203</v>
      </c>
      <c r="K25" t="s">
        <v>204</v>
      </c>
    </row>
    <row r="26" spans="1:12" x14ac:dyDescent="0.3">
      <c r="E26" t="s">
        <v>64</v>
      </c>
      <c r="F26" s="98">
        <v>0</v>
      </c>
    </row>
    <row r="27" spans="1:12" x14ac:dyDescent="0.3">
      <c r="E27" t="s">
        <v>66</v>
      </c>
      <c r="F27" s="91">
        <f>($B$7-B9)*($B$7-B9)+($C$7-C9)*($C$7-C9)</f>
        <v>0.37591960191483997</v>
      </c>
      <c r="G27" s="98">
        <v>0</v>
      </c>
    </row>
    <row r="28" spans="1:12" x14ac:dyDescent="0.3">
      <c r="E28" t="s">
        <v>67</v>
      </c>
      <c r="F28" s="91">
        <f>($B$7-B10)*($B$7-B10)+($C$7-C10)*($C$7-C10)</f>
        <v>6.6586268581506694E-2</v>
      </c>
      <c r="G28" s="91">
        <f>($B$9-B10)*($B$9-B10)+($C$9-C10)*($C$9-C10)</f>
        <v>0.69493827160493826</v>
      </c>
      <c r="H28" s="98">
        <v>0</v>
      </c>
    </row>
    <row r="29" spans="1:12" x14ac:dyDescent="0.3">
      <c r="E29" t="s">
        <v>70</v>
      </c>
      <c r="F29" s="131">
        <f>($B$7-B13)*($B$7-B13)+($C$7-C13)*($C$7-C13)</f>
        <v>4.8979994960947362E-2</v>
      </c>
      <c r="G29" s="91">
        <f>($B$9-B13)*($B$9-B13)+($C$9-C13)*($C$9-C13)</f>
        <v>0.65622879818594104</v>
      </c>
      <c r="H29" s="91">
        <f>($B$10-B13)*($B$10-B13)+($C$10-C13)*($C$10-C13)</f>
        <v>7.3907810531620058E-2</v>
      </c>
      <c r="I29" s="98">
        <v>0</v>
      </c>
    </row>
    <row r="30" spans="1:12" x14ac:dyDescent="0.3">
      <c r="E30" t="s">
        <v>203</v>
      </c>
      <c r="F30" s="91">
        <v>0.19177346938775508</v>
      </c>
      <c r="G30" s="91">
        <v>7.0486268581506667E-2</v>
      </c>
      <c r="H30" s="91">
        <v>0.34582315444696399</v>
      </c>
      <c r="I30" s="91">
        <v>0.43202421264802199</v>
      </c>
      <c r="J30" s="98">
        <v>0</v>
      </c>
    </row>
    <row r="31" spans="1:12" x14ac:dyDescent="0.3">
      <c r="E31" t="s">
        <v>204</v>
      </c>
      <c r="F31">
        <v>0.48113237591332814</v>
      </c>
      <c r="G31" s="91">
        <v>0.12476757369614511</v>
      </c>
      <c r="H31">
        <v>0.68377991937515736</v>
      </c>
      <c r="I31" s="91">
        <v>0.8370938775510206</v>
      </c>
      <c r="J31">
        <v>5.7089342403628111E-2</v>
      </c>
      <c r="K31" s="98">
        <v>0</v>
      </c>
    </row>
    <row r="33" spans="1:10" x14ac:dyDescent="0.3">
      <c r="A33" s="160" t="s">
        <v>207</v>
      </c>
      <c r="B33" s="160"/>
      <c r="F33" t="s">
        <v>66</v>
      </c>
      <c r="G33" t="s">
        <v>67</v>
      </c>
      <c r="H33" t="s">
        <v>203</v>
      </c>
      <c r="I33" t="s">
        <v>204</v>
      </c>
      <c r="J33" t="s">
        <v>208</v>
      </c>
    </row>
    <row r="34" spans="1:10" x14ac:dyDescent="0.3">
      <c r="E34" t="s">
        <v>66</v>
      </c>
      <c r="F34" s="98">
        <v>0</v>
      </c>
    </row>
    <row r="35" spans="1:10" x14ac:dyDescent="0.3">
      <c r="E35" t="s">
        <v>67</v>
      </c>
      <c r="F35" s="91">
        <f>($B$9-B10)*($B$9-B10)+($C$9-C10)*($C$9-C10)</f>
        <v>0.69493827160493826</v>
      </c>
      <c r="G35" s="98">
        <v>0</v>
      </c>
    </row>
    <row r="36" spans="1:10" x14ac:dyDescent="0.3">
      <c r="E36" t="s">
        <v>203</v>
      </c>
      <c r="F36" s="91">
        <f>G30</f>
        <v>7.0486268581506667E-2</v>
      </c>
      <c r="G36" s="91">
        <f>H30</f>
        <v>0.34582315444696399</v>
      </c>
      <c r="H36" s="98">
        <v>0</v>
      </c>
    </row>
    <row r="37" spans="1:10" x14ac:dyDescent="0.3">
      <c r="E37" t="s">
        <v>204</v>
      </c>
      <c r="F37" s="91">
        <v>0.12476757369614511</v>
      </c>
      <c r="G37" s="91">
        <v>0.68377991937515736</v>
      </c>
      <c r="H37" s="2">
        <v>5.7089342403628111E-2</v>
      </c>
      <c r="I37" s="98">
        <v>0</v>
      </c>
    </row>
    <row r="38" spans="1:10" x14ac:dyDescent="0.3">
      <c r="E38" t="s">
        <v>208</v>
      </c>
      <c r="F38">
        <v>0.37591960191483997</v>
      </c>
      <c r="G38" s="91">
        <v>6.6586268581506694E-2</v>
      </c>
      <c r="H38">
        <v>0.19177346938775508</v>
      </c>
      <c r="I38" s="91">
        <v>0.48113237591332814</v>
      </c>
      <c r="J38" s="98">
        <v>0</v>
      </c>
    </row>
    <row r="40" spans="1:10" x14ac:dyDescent="0.3">
      <c r="A40" s="160" t="s">
        <v>209</v>
      </c>
      <c r="B40" s="160"/>
      <c r="F40" t="s">
        <v>66</v>
      </c>
      <c r="G40" t="s">
        <v>67</v>
      </c>
      <c r="H40" t="s">
        <v>208</v>
      </c>
      <c r="I40" s="74" t="s">
        <v>210</v>
      </c>
      <c r="J40" s="74"/>
    </row>
    <row r="41" spans="1:10" x14ac:dyDescent="0.3">
      <c r="E41" t="s">
        <v>66</v>
      </c>
      <c r="F41" s="98">
        <v>0</v>
      </c>
      <c r="I41" s="74"/>
      <c r="J41" s="74"/>
    </row>
    <row r="42" spans="1:10" x14ac:dyDescent="0.3">
      <c r="E42" t="s">
        <v>67</v>
      </c>
      <c r="F42" s="91">
        <v>0.69493827160493826</v>
      </c>
      <c r="G42" s="98">
        <v>0</v>
      </c>
      <c r="I42" s="74"/>
      <c r="J42" s="74"/>
    </row>
    <row r="43" spans="1:10" x14ac:dyDescent="0.3">
      <c r="E43" t="s">
        <v>208</v>
      </c>
      <c r="F43">
        <v>0.37591960191483997</v>
      </c>
      <c r="G43" s="131">
        <v>6.6586268581506694E-2</v>
      </c>
      <c r="H43" s="98">
        <v>0</v>
      </c>
      <c r="I43" s="74"/>
      <c r="J43" s="74"/>
    </row>
    <row r="44" spans="1:10" x14ac:dyDescent="0.3">
      <c r="E44" t="s">
        <v>210</v>
      </c>
      <c r="F44" s="91">
        <v>7.0486268581506667E-2</v>
      </c>
      <c r="G44" s="91">
        <v>0.34582315444696399</v>
      </c>
      <c r="H44">
        <v>0.19177346938775508</v>
      </c>
      <c r="I44" s="98">
        <v>0</v>
      </c>
      <c r="J44" s="74"/>
    </row>
    <row r="45" spans="1:10" x14ac:dyDescent="0.3">
      <c r="I45" s="128"/>
      <c r="J45" s="74"/>
    </row>
    <row r="46" spans="1:10" x14ac:dyDescent="0.3">
      <c r="A46" s="160" t="s">
        <v>211</v>
      </c>
      <c r="B46" s="160"/>
      <c r="F46" t="s">
        <v>66</v>
      </c>
      <c r="G46" s="74" t="s">
        <v>210</v>
      </c>
      <c r="H46" t="s">
        <v>212</v>
      </c>
      <c r="J46" s="74"/>
    </row>
    <row r="47" spans="1:10" x14ac:dyDescent="0.3">
      <c r="E47" t="s">
        <v>66</v>
      </c>
      <c r="F47" s="98">
        <v>0</v>
      </c>
      <c r="G47" s="74"/>
    </row>
    <row r="48" spans="1:10" x14ac:dyDescent="0.3">
      <c r="E48" t="s">
        <v>210</v>
      </c>
      <c r="F48" s="131">
        <v>7.0486268581506667E-2</v>
      </c>
      <c r="G48" s="98">
        <v>0</v>
      </c>
    </row>
    <row r="49" spans="1:8" x14ac:dyDescent="0.3">
      <c r="E49" t="s">
        <v>212</v>
      </c>
      <c r="F49">
        <v>0.37591960191483997</v>
      </c>
      <c r="G49">
        <v>0.19177346938775508</v>
      </c>
      <c r="H49" s="98">
        <v>0</v>
      </c>
    </row>
    <row r="51" spans="1:8" x14ac:dyDescent="0.3">
      <c r="A51" s="160" t="s">
        <v>213</v>
      </c>
      <c r="B51" s="160"/>
      <c r="F51" t="s">
        <v>212</v>
      </c>
      <c r="G51" t="s">
        <v>214</v>
      </c>
    </row>
    <row r="52" spans="1:8" x14ac:dyDescent="0.3">
      <c r="E52" t="s">
        <v>212</v>
      </c>
      <c r="F52" s="98">
        <v>0</v>
      </c>
    </row>
    <row r="53" spans="1:8" x14ac:dyDescent="0.3">
      <c r="E53" t="s">
        <v>214</v>
      </c>
      <c r="F53" s="2">
        <v>0.19177346938775508</v>
      </c>
      <c r="G53" s="98">
        <v>0</v>
      </c>
    </row>
  </sheetData>
  <mergeCells count="7">
    <mergeCell ref="A33:B33"/>
    <mergeCell ref="A40:B40"/>
    <mergeCell ref="A46:B46"/>
    <mergeCell ref="A51:B51"/>
    <mergeCell ref="A2:M3"/>
    <mergeCell ref="A18:B18"/>
    <mergeCell ref="A25:B2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P33"/>
  <sheetViews>
    <sheetView zoomScale="70" zoomScaleNormal="70" workbookViewId="0">
      <selection activeCell="K36" sqref="K36:L43"/>
    </sheetView>
  </sheetViews>
  <sheetFormatPr baseColWidth="10" defaultRowHeight="16.5" x14ac:dyDescent="0.3"/>
  <cols>
    <col min="1" max="1" width="9.375" customWidth="1"/>
    <col min="2" max="2" width="7.5" customWidth="1"/>
    <col min="3" max="3" width="8" customWidth="1"/>
    <col min="5" max="5" width="7.5" customWidth="1"/>
    <col min="6" max="6" width="6.5" customWidth="1"/>
    <col min="7" max="7" width="9.875" customWidth="1"/>
    <col min="8" max="8" width="6.375" customWidth="1"/>
    <col min="9" max="9" width="5.875" customWidth="1"/>
    <col min="10" max="10" width="7.125" customWidth="1"/>
    <col min="11" max="12" width="6.5" customWidth="1"/>
    <col min="13" max="13" width="4.375" customWidth="1"/>
    <col min="14" max="15" width="6.75" customWidth="1"/>
  </cols>
  <sheetData>
    <row r="1" spans="1:16" ht="18.75" x14ac:dyDescent="0.3">
      <c r="A1" s="24" t="s">
        <v>101</v>
      </c>
    </row>
    <row r="2" spans="1:16" x14ac:dyDescent="0.3">
      <c r="A2" s="155" t="s">
        <v>215</v>
      </c>
      <c r="B2" s="155"/>
      <c r="C2" s="155"/>
      <c r="D2" s="155"/>
      <c r="E2" s="155"/>
      <c r="F2" s="49"/>
      <c r="G2" s="49"/>
      <c r="H2" s="49"/>
      <c r="I2" s="49"/>
      <c r="J2" s="49"/>
      <c r="K2" s="49"/>
      <c r="L2" s="49"/>
      <c r="M2" s="49"/>
    </row>
    <row r="3" spans="1:16" x14ac:dyDescent="0.3">
      <c r="A3" s="49"/>
      <c r="B3" s="49"/>
      <c r="C3" s="49"/>
      <c r="D3" s="49"/>
      <c r="E3" s="49"/>
      <c r="F3" s="49"/>
      <c r="G3" s="49"/>
      <c r="H3" s="49"/>
      <c r="I3" s="49"/>
      <c r="J3" s="49"/>
      <c r="K3" s="49"/>
      <c r="L3" s="49"/>
      <c r="M3" s="49"/>
    </row>
    <row r="4" spans="1:16" x14ac:dyDescent="0.3">
      <c r="E4" s="25"/>
      <c r="F4" s="25" t="s">
        <v>218</v>
      </c>
    </row>
    <row r="5" spans="1:16" x14ac:dyDescent="0.3">
      <c r="A5" s="22" t="s">
        <v>51</v>
      </c>
      <c r="B5" s="21" t="s">
        <v>53</v>
      </c>
      <c r="C5" s="21" t="s">
        <v>54</v>
      </c>
      <c r="E5" s="161" t="s">
        <v>216</v>
      </c>
      <c r="F5" s="121">
        <f>B6</f>
        <v>0</v>
      </c>
      <c r="G5" s="121">
        <f>C6</f>
        <v>0.1</v>
      </c>
      <c r="H5" s="74"/>
      <c r="I5" s="74"/>
      <c r="J5" s="74"/>
      <c r="K5" s="74"/>
      <c r="L5" s="74"/>
      <c r="M5" s="74"/>
      <c r="N5" s="74"/>
    </row>
    <row r="6" spans="1:16" x14ac:dyDescent="0.3">
      <c r="A6" s="21" t="s">
        <v>63</v>
      </c>
      <c r="B6" s="130">
        <v>0</v>
      </c>
      <c r="C6" s="130">
        <v>0.1</v>
      </c>
      <c r="E6" s="25" t="s">
        <v>217</v>
      </c>
      <c r="F6" s="121">
        <f>B7</f>
        <v>0.79365079365079361</v>
      </c>
      <c r="G6" s="121">
        <f>C7</f>
        <v>0.3</v>
      </c>
      <c r="H6" s="74"/>
      <c r="I6" s="74"/>
      <c r="J6" s="74"/>
      <c r="K6" s="74"/>
      <c r="L6" s="74"/>
      <c r="M6" s="74"/>
      <c r="N6" s="74"/>
    </row>
    <row r="7" spans="1:16" x14ac:dyDescent="0.3">
      <c r="A7" s="21" t="s">
        <v>64</v>
      </c>
      <c r="B7" s="130">
        <v>0.79365079365079361</v>
      </c>
      <c r="C7" s="130">
        <v>0.3</v>
      </c>
    </row>
    <row r="8" spans="1:16" x14ac:dyDescent="0.3">
      <c r="A8" s="21" t="s">
        <v>65</v>
      </c>
      <c r="B8" s="130">
        <v>0.38095238095238093</v>
      </c>
      <c r="C8" s="130">
        <v>0.08</v>
      </c>
      <c r="F8" s="164" t="s">
        <v>219</v>
      </c>
      <c r="G8" s="165" t="s">
        <v>220</v>
      </c>
    </row>
    <row r="9" spans="1:16" x14ac:dyDescent="0.3">
      <c r="A9" s="21" t="s">
        <v>66</v>
      </c>
      <c r="B9" s="130">
        <v>0.19047619047619047</v>
      </c>
      <c r="C9" s="130">
        <v>0.41</v>
      </c>
      <c r="E9" s="166" t="s">
        <v>221</v>
      </c>
      <c r="F9" s="167">
        <f>($B$6-B8)*($B$6-B8)+($C$6-C8)*($C$6-C8)</f>
        <v>0.14552471655328797</v>
      </c>
      <c r="G9" s="91">
        <f>($B$7-B8)*($B$7-B8)+($C$7-C8)*($C$7-C8)</f>
        <v>0.21871997984378935</v>
      </c>
    </row>
    <row r="10" spans="1:16" x14ac:dyDescent="0.3">
      <c r="A10" s="21" t="s">
        <v>67</v>
      </c>
      <c r="B10" s="130">
        <v>0.96825396825396826</v>
      </c>
      <c r="C10" s="130">
        <v>0.11</v>
      </c>
      <c r="E10" s="166" t="s">
        <v>222</v>
      </c>
      <c r="F10" s="167">
        <f>($B$6-B9)*($B$6-B9)+($C$6-C9)*($C$6-C9)</f>
        <v>0.13238117913832195</v>
      </c>
      <c r="G10" s="91">
        <f>($B$7-B9)*($B$7-B9)+($C$7-C9)*($C$7-C9)</f>
        <v>0.37591960191483997</v>
      </c>
    </row>
    <row r="11" spans="1:16" x14ac:dyDescent="0.3">
      <c r="A11" s="21" t="s">
        <v>68</v>
      </c>
      <c r="B11" s="130">
        <v>0.14285714285714285</v>
      </c>
      <c r="C11" s="130">
        <v>0.06</v>
      </c>
      <c r="E11" s="166" t="s">
        <v>223</v>
      </c>
      <c r="F11" s="91">
        <f>($B$6-B10)*($B$6-B10)+($C$6-C10)*($C$6-C10)</f>
        <v>0.93761574703955652</v>
      </c>
      <c r="G11" s="167">
        <f>($B$7-B10)*($B$7-B10)+($C$7-C10)*($C$7-C10)</f>
        <v>6.6586268581506694E-2</v>
      </c>
    </row>
    <row r="12" spans="1:16" x14ac:dyDescent="0.3">
      <c r="A12" s="21" t="s">
        <v>69</v>
      </c>
      <c r="B12" s="130">
        <v>0.36507936507936506</v>
      </c>
      <c r="C12" s="130">
        <v>0.21</v>
      </c>
      <c r="E12" s="166" t="s">
        <v>224</v>
      </c>
      <c r="F12" s="167">
        <f>($B$6-B11)*($B$6-B11)+($C$6-C11)*($C$6-C11)</f>
        <v>2.2008163265306122E-2</v>
      </c>
      <c r="G12" s="91">
        <f>($B$7-B11)*($B$7-B11)+($C$7-C11)*($C$7-C11)</f>
        <v>0.48113237591332814</v>
      </c>
      <c r="H12" s="74"/>
      <c r="I12" s="74"/>
      <c r="J12" s="74"/>
      <c r="K12" s="74"/>
      <c r="L12" s="74"/>
      <c r="M12" s="74"/>
      <c r="N12" s="74"/>
      <c r="O12" s="74"/>
      <c r="P12" s="74"/>
    </row>
    <row r="13" spans="1:16" x14ac:dyDescent="0.3">
      <c r="A13" s="21" t="s">
        <v>70</v>
      </c>
      <c r="B13" s="130">
        <v>1</v>
      </c>
      <c r="C13" s="130">
        <v>0.38</v>
      </c>
      <c r="E13" s="166" t="s">
        <v>225</v>
      </c>
      <c r="F13" s="167">
        <f>($B$6-B12)*($B$6-B12)+($C$6-C12)*($C$6-C12)</f>
        <v>0.14538294280675232</v>
      </c>
      <c r="G13" s="91">
        <f>($B$7-B12)*($B$7-B12)+($C$7-C12)*($C$7-C12)</f>
        <v>0.19177346938775508</v>
      </c>
      <c r="H13" s="74"/>
      <c r="I13" s="74"/>
      <c r="J13" s="74"/>
      <c r="K13" s="74"/>
      <c r="L13" s="74"/>
      <c r="M13" s="74"/>
      <c r="N13" s="74"/>
      <c r="O13" s="74"/>
      <c r="P13" s="74"/>
    </row>
    <row r="14" spans="1:16" x14ac:dyDescent="0.3">
      <c r="A14" s="21"/>
      <c r="B14" s="130"/>
      <c r="C14" s="130"/>
      <c r="E14" s="166" t="s">
        <v>226</v>
      </c>
      <c r="F14" s="91">
        <f>($B$6-B13)*($B$6-B13)+($C$6-C13)*($C$6-C13)</f>
        <v>1.0784</v>
      </c>
      <c r="G14" s="167">
        <f>($B$7-B13)*($B$7-B13)+($C$7-C13)*($C$7-C13)</f>
        <v>4.8979994960947362E-2</v>
      </c>
      <c r="H14" s="74"/>
      <c r="I14" s="74"/>
      <c r="J14" s="74"/>
      <c r="K14" s="74"/>
      <c r="L14" s="74"/>
      <c r="M14" s="74"/>
      <c r="N14" s="74"/>
      <c r="O14" s="74"/>
      <c r="P14" s="74"/>
    </row>
    <row r="15" spans="1:16" x14ac:dyDescent="0.3">
      <c r="H15" s="128"/>
      <c r="I15" s="128"/>
      <c r="J15" s="128"/>
      <c r="K15" s="162"/>
      <c r="L15" s="74"/>
      <c r="M15" s="74"/>
      <c r="N15" s="74"/>
      <c r="O15" s="74"/>
      <c r="P15" s="74"/>
    </row>
    <row r="16" spans="1:16" x14ac:dyDescent="0.3">
      <c r="E16" s="74"/>
      <c r="F16" s="74"/>
      <c r="G16" s="74"/>
      <c r="H16" s="74"/>
      <c r="I16" s="74"/>
      <c r="J16" s="74"/>
      <c r="K16" s="74"/>
      <c r="L16" s="74"/>
      <c r="M16" s="74"/>
      <c r="N16" s="74"/>
      <c r="O16" s="74"/>
      <c r="P16" s="74"/>
    </row>
    <row r="17" spans="1:16" x14ac:dyDescent="0.3">
      <c r="A17" s="171" t="s">
        <v>227</v>
      </c>
      <c r="B17" s="170" t="s">
        <v>229</v>
      </c>
      <c r="C17" s="170"/>
      <c r="D17" s="98"/>
      <c r="E17" s="74"/>
      <c r="F17" s="74"/>
      <c r="G17" s="74"/>
      <c r="H17" s="74"/>
      <c r="I17" s="74"/>
      <c r="J17" s="74"/>
      <c r="K17" s="74"/>
      <c r="L17" s="74"/>
      <c r="M17" s="74"/>
      <c r="N17" s="74"/>
      <c r="O17" s="74"/>
      <c r="P17" s="74"/>
    </row>
    <row r="18" spans="1:16" x14ac:dyDescent="0.3">
      <c r="A18" s="172" t="s">
        <v>228</v>
      </c>
      <c r="B18" s="173" t="s">
        <v>230</v>
      </c>
      <c r="C18" s="173"/>
      <c r="D18" s="174"/>
    </row>
    <row r="19" spans="1:16" x14ac:dyDescent="0.3">
      <c r="F19" s="164" t="s">
        <v>231</v>
      </c>
      <c r="G19" s="165" t="s">
        <v>232</v>
      </c>
    </row>
    <row r="20" spans="1:16" x14ac:dyDescent="0.3">
      <c r="A20" s="161" t="s">
        <v>231</v>
      </c>
      <c r="B20" s="91">
        <f>B6+B8+B9+B11+B12</f>
        <v>1.0793650793650793</v>
      </c>
      <c r="C20" s="91">
        <f>C6+C8+C9+C11+C12</f>
        <v>0.85999999999999988</v>
      </c>
      <c r="E20" s="166" t="s">
        <v>233</v>
      </c>
      <c r="F20" s="168">
        <f>($B$20-B72)*($B$20-B6)+($C$20-C6)*($C$20-C6)</f>
        <v>1.7426289745527839</v>
      </c>
      <c r="G20">
        <f>($B$21-C72)*($B$21-B6)+($C$21-C6)*($C$21-C6)</f>
        <v>8.1042179138321995</v>
      </c>
    </row>
    <row r="21" spans="1:16" x14ac:dyDescent="0.3">
      <c r="A21" s="163" t="s">
        <v>232</v>
      </c>
      <c r="B21" s="3">
        <f>B7+B10+B13</f>
        <v>2.7619047619047619</v>
      </c>
      <c r="C21" s="3">
        <f>C7+C10+C13</f>
        <v>0.79</v>
      </c>
      <c r="E21" s="166" t="s">
        <v>234</v>
      </c>
      <c r="F21" s="168">
        <f>($B$20-B73)*($B$20-B7)+($C$20-C7)*($C$20-C7)</f>
        <v>0.62199002267573678</v>
      </c>
      <c r="G21">
        <f>($B$21-C73)*($B$21-B7)+($C$21-C7)*($C$21-C7)</f>
        <v>5.676230007558579</v>
      </c>
    </row>
    <row r="22" spans="1:16" x14ac:dyDescent="0.3">
      <c r="E22" s="166" t="s">
        <v>221</v>
      </c>
      <c r="F22" s="168">
        <f>($B$20-B74)*($B$20-B8)+($C$20-C8)*($C$20-C8)</f>
        <v>1.3622422776518013</v>
      </c>
      <c r="G22">
        <f>($B$21-C74)*($B$21-B8)+($C$21-C8)*($C$21-C8)</f>
        <v>7.0800637188208615</v>
      </c>
    </row>
    <row r="23" spans="1:16" x14ac:dyDescent="0.3">
      <c r="E23" s="166" t="s">
        <v>222</v>
      </c>
      <c r="F23" s="168">
        <f>($B$20-B75)*($B$20-B9)+($C$20-C9)*($C$20-C9)</f>
        <v>1.1619356261022926</v>
      </c>
      <c r="G23">
        <f>($B$21-C75)*($B$21-B9)+($C$21-C9)*($C$21-C9)</f>
        <v>7.2464408163265297</v>
      </c>
    </row>
    <row r="24" spans="1:16" x14ac:dyDescent="0.3">
      <c r="E24" s="166" t="s">
        <v>223</v>
      </c>
      <c r="F24" s="168">
        <f>($B$20-B76)*($B$20-B10)+($C$20-C10)*($C$20-C10)</f>
        <v>0.68242945326278626</v>
      </c>
      <c r="G24">
        <f>($B$21-C76)*($B$21-B10)+($C$21-C10)*($C$21-C10)</f>
        <v>5.4162926681783814</v>
      </c>
    </row>
    <row r="25" spans="1:16" x14ac:dyDescent="0.3">
      <c r="E25" s="166" t="s">
        <v>224</v>
      </c>
      <c r="F25" s="168">
        <f>($B$20-B77)*($B$20-B11)+($C$20-C11)*($C$20-C11)</f>
        <v>1.6508339632149152</v>
      </c>
      <c r="G25">
        <f>($B$21-C77)*($B$21-B11)+($C$21-C11)*($C$21-C11)</f>
        <v>7.7664600907029477</v>
      </c>
    </row>
    <row r="26" spans="1:16" x14ac:dyDescent="0.3">
      <c r="E26" s="166" t="s">
        <v>225</v>
      </c>
      <c r="F26" s="168">
        <f>($B$20-B78)*($B$20-B12)+($C$20-C12)*($C$20-C12)</f>
        <v>1.1934750566893422</v>
      </c>
      <c r="G26">
        <f>($B$21-C78)*($B$21-B12)+($C$21-C12)*($C$21-C12)</f>
        <v>6.9562034769463343</v>
      </c>
    </row>
    <row r="27" spans="1:16" x14ac:dyDescent="0.3">
      <c r="E27" s="166" t="s">
        <v>226</v>
      </c>
      <c r="F27" s="168">
        <f>($B$20-B79)*($B$20-B13)+($C$20-C13)*($C$20-C13)</f>
        <v>0.3160638951877045</v>
      </c>
      <c r="G27">
        <f>($B$21-C79)*($B$21-B13)+($C$21-C13)*($C$21-C13)</f>
        <v>5.0343131519274378</v>
      </c>
    </row>
    <row r="28" spans="1:16" s="74" customFormat="1" x14ac:dyDescent="0.3">
      <c r="E28" s="169"/>
    </row>
    <row r="29" spans="1:16" s="74" customFormat="1" x14ac:dyDescent="0.3">
      <c r="A29" s="171" t="s">
        <v>227</v>
      </c>
      <c r="B29" s="175" t="s">
        <v>235</v>
      </c>
      <c r="C29" s="175"/>
      <c r="D29" s="175"/>
      <c r="E29" s="169"/>
    </row>
    <row r="30" spans="1:16" s="74" customFormat="1" x14ac:dyDescent="0.3">
      <c r="A30" s="172" t="s">
        <v>228</v>
      </c>
      <c r="B30" s="176" t="s">
        <v>236</v>
      </c>
      <c r="C30" s="176"/>
      <c r="D30" s="176"/>
      <c r="E30" s="169"/>
    </row>
    <row r="32" spans="1:16" x14ac:dyDescent="0.3">
      <c r="A32" s="177" t="s">
        <v>237</v>
      </c>
      <c r="B32" s="177"/>
      <c r="C32" s="177"/>
      <c r="D32" s="177"/>
      <c r="E32" s="177"/>
      <c r="F32" s="177"/>
      <c r="G32" s="177"/>
      <c r="H32" s="177"/>
      <c r="I32" s="177"/>
      <c r="J32" s="177"/>
      <c r="K32" s="177"/>
      <c r="L32" s="177"/>
      <c r="M32" s="177"/>
      <c r="N32" s="177"/>
      <c r="O32" s="177"/>
      <c r="P32" s="177"/>
    </row>
    <row r="33" spans="1:16" x14ac:dyDescent="0.3">
      <c r="A33" s="177"/>
      <c r="B33" s="177"/>
      <c r="C33" s="177"/>
      <c r="D33" s="177"/>
      <c r="E33" s="177"/>
      <c r="F33" s="177"/>
      <c r="G33" s="177"/>
      <c r="H33" s="177"/>
      <c r="I33" s="177"/>
      <c r="J33" s="177"/>
      <c r="K33" s="177"/>
      <c r="L33" s="177"/>
      <c r="M33" s="177"/>
      <c r="N33" s="177"/>
      <c r="O33" s="177"/>
      <c r="P33" s="177"/>
    </row>
  </sheetData>
  <mergeCells count="4">
    <mergeCell ref="A2:E2"/>
    <mergeCell ref="A32:P33"/>
    <mergeCell ref="B29:D29"/>
    <mergeCell ref="B30:D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Datos</vt:lpstr>
      <vt:lpstr>Ejer 1.</vt:lpstr>
      <vt:lpstr>Anexo Ejer 1</vt:lpstr>
      <vt:lpstr>Ejer 2.</vt:lpstr>
      <vt:lpstr>Ejer. 3</vt:lpstr>
      <vt:lpstr>Ejer 4</vt:lpstr>
      <vt:lpstr>Ejer 5</vt:lpstr>
      <vt:lpstr>Ejer 6</vt:lpstr>
      <vt:lpstr>Ejer 6 (b)</vt:lpstr>
      <vt:lpstr>Ejer 6 (c)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Reyna Vargas</dc:creator>
  <cp:lastModifiedBy>Reyna Vargas</cp:lastModifiedBy>
  <dcterms:created xsi:type="dcterms:W3CDTF">2016-06-14T05:36:46Z</dcterms:created>
  <dcterms:modified xsi:type="dcterms:W3CDTF">2016-06-19T19:12:21Z</dcterms:modified>
</cp:coreProperties>
</file>