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0" yWindow="0" windowWidth="20460" windowHeight="7620"/>
  </bookViews>
  <sheets>
    <sheet name="فروض و نتایج" sheetId="2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8" i="2" l="1"/>
  <c r="Y27" i="2"/>
  <c r="C11" i="2"/>
  <c r="X48" i="2" l="1"/>
  <c r="X47" i="2"/>
  <c r="O49" i="2"/>
  <c r="P49" i="2"/>
  <c r="Q49" i="2"/>
  <c r="R49" i="2"/>
  <c r="S49" i="2"/>
  <c r="X49" i="2" l="1"/>
  <c r="B20" i="2"/>
  <c r="D46" i="2"/>
  <c r="C46" i="2"/>
  <c r="K48" i="2"/>
  <c r="W48" i="2" s="1"/>
  <c r="U48" i="2" s="1"/>
  <c r="Y25" i="2" l="1"/>
  <c r="Z25" i="2" s="1"/>
  <c r="Y30" i="2"/>
  <c r="E30" i="2" s="1"/>
  <c r="Y29" i="2"/>
  <c r="E29" i="2" s="1"/>
  <c r="Y28" i="2"/>
  <c r="Z27" i="2"/>
  <c r="F29" i="2" l="1"/>
  <c r="G29" i="2" s="1"/>
  <c r="H29" i="2" s="1"/>
  <c r="I29" i="2" s="1"/>
  <c r="V29" i="2"/>
  <c r="F30" i="2"/>
  <c r="G30" i="2" s="1"/>
  <c r="H30" i="2" s="1"/>
  <c r="I30" i="2" s="1"/>
  <c r="V30" i="2"/>
  <c r="Z28" i="2"/>
  <c r="E28" i="2"/>
  <c r="Y32" i="2"/>
  <c r="F28" i="2" l="1"/>
  <c r="G28" i="2" s="1"/>
  <c r="H28" i="2" s="1"/>
  <c r="I28" i="2" s="1"/>
  <c r="V28" i="2"/>
  <c r="J30" i="2"/>
  <c r="K30" i="2" s="1"/>
  <c r="L30" i="2" s="1"/>
  <c r="M30" i="2" s="1"/>
  <c r="N30" i="2" s="1"/>
  <c r="O30" i="2" s="1"/>
  <c r="J29" i="2"/>
  <c r="K29" i="2" s="1"/>
  <c r="L29" i="2" s="1"/>
  <c r="M29" i="2" s="1"/>
  <c r="N29" i="2" s="1"/>
  <c r="O29" i="2" s="1"/>
  <c r="W29" i="2"/>
  <c r="Z32" i="2"/>
  <c r="E32" i="2"/>
  <c r="P30" i="2" l="1"/>
  <c r="Q30" i="2" s="1"/>
  <c r="R30" i="2" s="1"/>
  <c r="S30" i="2" s="1"/>
  <c r="T30" i="2" s="1"/>
  <c r="X30" i="2"/>
  <c r="J28" i="2"/>
  <c r="K28" i="2" s="1"/>
  <c r="L28" i="2" s="1"/>
  <c r="M28" i="2" s="1"/>
  <c r="N28" i="2" s="1"/>
  <c r="O28" i="2" s="1"/>
  <c r="W28" i="2"/>
  <c r="P29" i="2"/>
  <c r="Q29" i="2" s="1"/>
  <c r="R29" i="2" s="1"/>
  <c r="S29" i="2" s="1"/>
  <c r="T29" i="2" s="1"/>
  <c r="X29" i="2"/>
  <c r="F32" i="2"/>
  <c r="G32" i="2" s="1"/>
  <c r="H32" i="2" s="1"/>
  <c r="I32" i="2" s="1"/>
  <c r="V32" i="2"/>
  <c r="W30" i="2"/>
  <c r="E25" i="2"/>
  <c r="J32" i="2" l="1"/>
  <c r="K32" i="2" s="1"/>
  <c r="L32" i="2" s="1"/>
  <c r="M32" i="2" s="1"/>
  <c r="N32" i="2" s="1"/>
  <c r="O32" i="2" s="1"/>
  <c r="W32" i="2"/>
  <c r="P28" i="2"/>
  <c r="Q28" i="2" s="1"/>
  <c r="R28" i="2" s="1"/>
  <c r="S28" i="2" s="1"/>
  <c r="T28" i="2" s="1"/>
  <c r="F25" i="2"/>
  <c r="G25" i="2" s="1"/>
  <c r="H25" i="2" s="1"/>
  <c r="I25" i="2" s="1"/>
  <c r="W25" i="2" l="1"/>
  <c r="W23" i="2" s="1"/>
  <c r="V25" i="2"/>
  <c r="V23" i="2" s="1"/>
  <c r="P32" i="2"/>
  <c r="Q32" i="2" s="1"/>
  <c r="R32" i="2" s="1"/>
  <c r="S32" i="2" s="1"/>
  <c r="T32" i="2" s="1"/>
  <c r="X32" i="2"/>
  <c r="X28" i="2"/>
  <c r="I47" i="2"/>
  <c r="G47" i="2"/>
  <c r="G49" i="2" s="1"/>
  <c r="F47" i="2"/>
  <c r="F49" i="2" s="1"/>
  <c r="C47" i="2"/>
  <c r="H47" i="2"/>
  <c r="H49" i="2" s="1"/>
  <c r="B46" i="2"/>
  <c r="E47" i="2"/>
  <c r="J47" i="2"/>
  <c r="J49" i="2" s="1"/>
  <c r="B48" i="2"/>
  <c r="K47" i="2"/>
  <c r="K49" i="2" s="1"/>
  <c r="M47" i="2"/>
  <c r="M49" i="2" s="1"/>
  <c r="L47" i="2"/>
  <c r="L49" i="2" s="1"/>
  <c r="I49" i="2"/>
  <c r="D47" i="2"/>
  <c r="D49" i="2" s="1"/>
  <c r="J25" i="2"/>
  <c r="K25" i="2" s="1"/>
  <c r="L25" i="2" s="1"/>
  <c r="M25" i="2" s="1"/>
  <c r="N25" i="2" s="1"/>
  <c r="O25" i="2" s="1"/>
  <c r="P25" i="2" l="1"/>
  <c r="Q25" i="2" s="1"/>
  <c r="E49" i="2"/>
  <c r="V47" i="2"/>
  <c r="C49" i="2"/>
  <c r="N47" i="2"/>
  <c r="B47" i="2" s="1"/>
  <c r="S25" i="2" l="1"/>
  <c r="T25" i="2" s="1"/>
  <c r="R25" i="2"/>
  <c r="X25" i="2" s="1"/>
  <c r="X23" i="2" s="1"/>
  <c r="N49" i="2"/>
  <c r="W49" i="2" s="1"/>
  <c r="W47" i="2"/>
  <c r="U47" i="2" s="1"/>
  <c r="V49" i="2"/>
  <c r="B49" i="2"/>
  <c r="Y31" i="2"/>
  <c r="E31" i="2" s="1"/>
  <c r="F31" i="2" l="1"/>
  <c r="G31" i="2" s="1"/>
  <c r="H31" i="2" s="1"/>
  <c r="I31" i="2" s="1"/>
  <c r="V31" i="2"/>
  <c r="U49" i="2"/>
  <c r="Y33" i="2"/>
  <c r="Y40" i="2" s="1"/>
  <c r="Z31" i="2"/>
  <c r="J31" i="2" l="1"/>
  <c r="K31" i="2" s="1"/>
  <c r="L31" i="2" s="1"/>
  <c r="M31" i="2" s="1"/>
  <c r="N31" i="2" s="1"/>
  <c r="O31" i="2" s="1"/>
  <c r="W31" i="2"/>
  <c r="AA25" i="2"/>
  <c r="AB25" i="2" s="1"/>
  <c r="P31" i="2" l="1"/>
  <c r="Q31" i="2" s="1"/>
  <c r="R31" i="2" s="1"/>
  <c r="S31" i="2" s="1"/>
  <c r="T31" i="2" s="1"/>
  <c r="X31" i="2"/>
  <c r="AA31" i="2"/>
  <c r="AB31" i="2"/>
  <c r="AC25" i="2"/>
  <c r="AC31" i="2" l="1"/>
  <c r="D11" i="2"/>
  <c r="AD25" i="2"/>
  <c r="AD31" i="2" l="1"/>
  <c r="AE25" i="2"/>
  <c r="AE31" i="2" l="1"/>
  <c r="AF25" i="2"/>
  <c r="AF31" i="2" l="1"/>
  <c r="AG25" i="2"/>
  <c r="AH25" i="2" s="1"/>
  <c r="AH31" i="2" s="1"/>
  <c r="AG31" i="2" l="1"/>
  <c r="AA27" i="2" l="1"/>
  <c r="E27" i="2"/>
  <c r="F27" i="2" l="1"/>
  <c r="AB27" i="2"/>
  <c r="G27" i="2" l="1"/>
  <c r="AC27" i="2"/>
  <c r="H27" i="2" l="1"/>
  <c r="V27" i="2"/>
  <c r="V33" i="2" s="1"/>
  <c r="AD27" i="2"/>
  <c r="I27" i="2" l="1"/>
  <c r="AE27" i="2"/>
  <c r="AF27" i="2" l="1"/>
  <c r="J27" i="2"/>
  <c r="K27" i="2" s="1"/>
  <c r="L27" i="2" s="1"/>
  <c r="AG27" i="2" l="1"/>
  <c r="AH27" i="2" l="1"/>
  <c r="M27" i="2" l="1"/>
  <c r="N27" i="2" l="1"/>
  <c r="W27" i="2" s="1"/>
  <c r="O27" i="2" l="1"/>
  <c r="P27" i="2" l="1"/>
  <c r="Q27" i="2" s="1"/>
  <c r="R27" i="2" s="1"/>
  <c r="X27" i="2" l="1"/>
  <c r="S27" i="2"/>
  <c r="T27" i="2" s="1"/>
  <c r="AA28" i="2" l="1"/>
  <c r="AB28" i="2" l="1"/>
  <c r="AC28" i="2" l="1"/>
  <c r="AD28" i="2" l="1"/>
  <c r="AE28" i="2" l="1"/>
  <c r="AF28" i="2" l="1"/>
  <c r="AG28" i="2" l="1"/>
  <c r="AH28" i="2" l="1"/>
  <c r="Z29" i="2" l="1"/>
  <c r="AA29" i="2" l="1"/>
  <c r="AB29" i="2" s="1"/>
  <c r="AC29" i="2" l="1"/>
  <c r="AD29" i="2" l="1"/>
  <c r="AE29" i="2" l="1"/>
  <c r="AF29" i="2" l="1"/>
  <c r="AG29" i="2" l="1"/>
  <c r="AH29" i="2" l="1"/>
  <c r="Z30" i="2" l="1"/>
  <c r="Z33" i="2" l="1"/>
  <c r="Z40" i="2" s="1"/>
  <c r="Z41" i="2" s="1"/>
  <c r="AA30" i="2"/>
  <c r="AB30" i="2" l="1"/>
  <c r="AC30" i="2" l="1"/>
  <c r="AD30" i="2" l="1"/>
  <c r="AE30" i="2" l="1"/>
  <c r="AF30" i="2" l="1"/>
  <c r="AG30" i="2" l="1"/>
  <c r="AH30" i="2" l="1"/>
  <c r="Y35" i="2" l="1"/>
  <c r="Y37" i="2" s="1"/>
  <c r="AA32" i="2"/>
  <c r="AA33" i="2" s="1"/>
  <c r="AA35" i="2" l="1"/>
  <c r="AA40" i="2"/>
  <c r="AA41" i="2" s="1"/>
  <c r="E33" i="2"/>
  <c r="Z35" i="2"/>
  <c r="F33" i="2"/>
  <c r="AB32" i="2"/>
  <c r="E35" i="2" l="1"/>
  <c r="E37" i="2" s="1"/>
  <c r="E40" i="2"/>
  <c r="E41" i="2" s="1"/>
  <c r="F35" i="2"/>
  <c r="F37" i="2" s="1"/>
  <c r="F40" i="2"/>
  <c r="F41" i="2" s="1"/>
  <c r="Z37" i="2"/>
  <c r="Z44" i="2" s="1"/>
  <c r="AA37" i="2"/>
  <c r="AA44" i="2" s="1"/>
  <c r="V40" i="2"/>
  <c r="G33" i="2"/>
  <c r="AB33" i="2"/>
  <c r="AC32" i="2"/>
  <c r="G35" i="2" l="1"/>
  <c r="G37" i="2" s="1"/>
  <c r="G40" i="2"/>
  <c r="G41" i="2" s="1"/>
  <c r="F44" i="2"/>
  <c r="F46" i="2" s="1"/>
  <c r="E44" i="2"/>
  <c r="Z54" i="2"/>
  <c r="Z53" i="2"/>
  <c r="Z52" i="2"/>
  <c r="AA54" i="2"/>
  <c r="AA53" i="2"/>
  <c r="AA52" i="2"/>
  <c r="V41" i="2"/>
  <c r="V35" i="2"/>
  <c r="V37" i="2" s="1"/>
  <c r="AB35" i="2"/>
  <c r="AB37" i="2" s="1"/>
  <c r="AB40" i="2"/>
  <c r="AB41" i="2" s="1"/>
  <c r="H33" i="2"/>
  <c r="AC33" i="2"/>
  <c r="AD32" i="2"/>
  <c r="H35" i="2" l="1"/>
  <c r="H40" i="2"/>
  <c r="H41" i="2" s="1"/>
  <c r="E46" i="2"/>
  <c r="G44" i="2"/>
  <c r="AB44" i="2"/>
  <c r="AC35" i="2"/>
  <c r="AC37" i="2" s="1"/>
  <c r="AC40" i="2"/>
  <c r="AC41" i="2" s="1"/>
  <c r="I33" i="2"/>
  <c r="H37" i="2"/>
  <c r="AE32" i="2"/>
  <c r="AD33" i="2"/>
  <c r="I35" i="2" l="1"/>
  <c r="I40" i="2"/>
  <c r="I41" i="2" s="1"/>
  <c r="G46" i="2"/>
  <c r="H44" i="2"/>
  <c r="V44" i="2" s="1"/>
  <c r="V52" i="2" s="1"/>
  <c r="AB53" i="2"/>
  <c r="AB52" i="2"/>
  <c r="AB54" i="2"/>
  <c r="AC44" i="2"/>
  <c r="AD35" i="2"/>
  <c r="AD37" i="2" s="1"/>
  <c r="AD40" i="2"/>
  <c r="AD41" i="2" s="1"/>
  <c r="AF32" i="2"/>
  <c r="AE33" i="2"/>
  <c r="I37" i="2"/>
  <c r="J33" i="2"/>
  <c r="V53" i="2" l="1"/>
  <c r="J35" i="2"/>
  <c r="J37" i="2" s="1"/>
  <c r="J40" i="2"/>
  <c r="J41" i="2" s="1"/>
  <c r="I44" i="2"/>
  <c r="AC54" i="2"/>
  <c r="AC53" i="2"/>
  <c r="AC52" i="2"/>
  <c r="H46" i="2"/>
  <c r="AD44" i="2"/>
  <c r="AE35" i="2"/>
  <c r="AE37" i="2" s="1"/>
  <c r="AE40" i="2"/>
  <c r="AE41" i="2" s="1"/>
  <c r="K33" i="2"/>
  <c r="AF33" i="2"/>
  <c r="AG32" i="2"/>
  <c r="K35" i="2" l="1"/>
  <c r="K37" i="2" s="1"/>
  <c r="K40" i="2"/>
  <c r="K41" i="2" s="1"/>
  <c r="J44" i="2"/>
  <c r="J46" i="2" s="1"/>
  <c r="I46" i="2"/>
  <c r="AD54" i="2"/>
  <c r="AD53" i="2"/>
  <c r="AD52" i="2"/>
  <c r="V54" i="2"/>
  <c r="AE44" i="2"/>
  <c r="AF35" i="2"/>
  <c r="AF37" i="2" s="1"/>
  <c r="AF40" i="2"/>
  <c r="AF41" i="2" s="1"/>
  <c r="AG33" i="2"/>
  <c r="AH32" i="2"/>
  <c r="AH33" i="2" s="1"/>
  <c r="L33" i="2"/>
  <c r="L35" i="2" l="1"/>
  <c r="L40" i="2"/>
  <c r="L41" i="2" s="1"/>
  <c r="K44" i="2"/>
  <c r="K46" i="2" s="1"/>
  <c r="AE54" i="2"/>
  <c r="AE53" i="2"/>
  <c r="AE52" i="2"/>
  <c r="AF44" i="2"/>
  <c r="AH35" i="2"/>
  <c r="AH37" i="2" s="1"/>
  <c r="AH40" i="2"/>
  <c r="AG35" i="2"/>
  <c r="AG37" i="2" s="1"/>
  <c r="AG40" i="2"/>
  <c r="M33" i="2"/>
  <c r="L37" i="2"/>
  <c r="M35" i="2" l="1"/>
  <c r="M40" i="2"/>
  <c r="M41" i="2" s="1"/>
  <c r="L44" i="2"/>
  <c r="L46" i="2" s="1"/>
  <c r="AF54" i="2"/>
  <c r="AF53" i="2"/>
  <c r="AF52" i="2"/>
  <c r="AG41" i="2"/>
  <c r="AG44" i="2" s="1"/>
  <c r="AH41" i="2"/>
  <c r="AH44" i="2" s="1"/>
  <c r="W33" i="2"/>
  <c r="N33" i="2"/>
  <c r="M37" i="2"/>
  <c r="N35" i="2" l="1"/>
  <c r="N40" i="2"/>
  <c r="N41" i="2" s="1"/>
  <c r="M44" i="2"/>
  <c r="M46" i="2" s="1"/>
  <c r="AG54" i="2"/>
  <c r="AG53" i="2"/>
  <c r="AG52" i="2"/>
  <c r="AH54" i="2"/>
  <c r="AH53" i="2"/>
  <c r="AH52" i="2"/>
  <c r="W40" i="2"/>
  <c r="W41" i="2" s="1"/>
  <c r="W35" i="2"/>
  <c r="W37" i="2" s="1"/>
  <c r="O33" i="2"/>
  <c r="N37" i="2"/>
  <c r="O35" i="2" l="1"/>
  <c r="O37" i="2" s="1"/>
  <c r="O40" i="2"/>
  <c r="O41" i="2" s="1"/>
  <c r="N44" i="2"/>
  <c r="W44" i="2" s="1"/>
  <c r="W52" i="2" s="1"/>
  <c r="P33" i="2"/>
  <c r="P35" i="2" l="1"/>
  <c r="P40" i="2"/>
  <c r="P41" i="2" s="1"/>
  <c r="O44" i="2"/>
  <c r="O46" i="2" s="1"/>
  <c r="N46" i="2"/>
  <c r="Q33" i="2"/>
  <c r="Q40" i="2" s="1"/>
  <c r="Q41" i="2" s="1"/>
  <c r="P37" i="2" l="1"/>
  <c r="W54" i="2"/>
  <c r="W53" i="2"/>
  <c r="R33" i="2"/>
  <c r="R40" i="2" s="1"/>
  <c r="R41" i="2" s="1"/>
  <c r="P44" i="2" l="1"/>
  <c r="P46" i="2" s="1"/>
  <c r="S33" i="2"/>
  <c r="S40" i="2" s="1"/>
  <c r="S41" i="2" s="1"/>
  <c r="T33" i="2" l="1"/>
  <c r="T40" i="2" s="1"/>
  <c r="T41" i="2" s="1"/>
  <c r="X33" i="2"/>
  <c r="X40" i="2" l="1"/>
  <c r="X41" i="2" l="1"/>
  <c r="Y41" i="2"/>
  <c r="Y44" i="2" l="1"/>
  <c r="T35" i="2"/>
  <c r="R35" i="2"/>
  <c r="Q35" i="2"/>
  <c r="Y53" i="2" l="1"/>
  <c r="Y52" i="2"/>
  <c r="Y54" i="2"/>
  <c r="S35" i="2"/>
  <c r="R37" i="2"/>
  <c r="R44" i="2" s="1"/>
  <c r="T37" i="2"/>
  <c r="T44" i="2" s="1"/>
  <c r="Q37" i="2"/>
  <c r="Q44" i="2" s="1"/>
  <c r="Q46" i="2" s="1"/>
  <c r="R46" i="2" l="1"/>
  <c r="T46" i="2"/>
  <c r="S37" i="2"/>
  <c r="S44" i="2" s="1"/>
  <c r="X35" i="2"/>
  <c r="X37" i="2" s="1"/>
  <c r="S46" i="2" l="1"/>
  <c r="X44" i="2"/>
  <c r="X53" i="2" l="1"/>
  <c r="V56" i="2" s="1"/>
  <c r="X52" i="2"/>
  <c r="V55" i="2" s="1"/>
  <c r="X54" i="2"/>
  <c r="V57" i="2" s="1"/>
</calcChain>
</file>

<file path=xl/sharedStrings.xml><?xml version="1.0" encoding="utf-8"?>
<sst xmlns="http://schemas.openxmlformats.org/spreadsheetml/2006/main" count="96" uniqueCount="73">
  <si>
    <t>مالیات</t>
  </si>
  <si>
    <t>سود خالص</t>
  </si>
  <si>
    <t>Total</t>
  </si>
  <si>
    <t>دوره بررسی (سال)</t>
  </si>
  <si>
    <t>ظرفیت</t>
  </si>
  <si>
    <t>هزینه‌های مالی</t>
  </si>
  <si>
    <t>نرخ مالیات</t>
  </si>
  <si>
    <t>هزینه تعمیرونگهداری</t>
  </si>
  <si>
    <t>افزایش در سرمایه در گردش</t>
  </si>
  <si>
    <t>Net Borrowing</t>
  </si>
  <si>
    <t>MOT/MOS</t>
  </si>
  <si>
    <t>تعداد روزهای کاری در ماه</t>
  </si>
  <si>
    <t>تعداد ساعات کاری در روز</t>
  </si>
  <si>
    <t>تعداد ماه کاری</t>
  </si>
  <si>
    <t>درآمد حاصل از  خدمات</t>
  </si>
  <si>
    <t>هزینه‌های جاری</t>
  </si>
  <si>
    <t>مواد اولیه</t>
  </si>
  <si>
    <t>حقوق و دستمزد</t>
  </si>
  <si>
    <t>هزینه سرمایه‌گذاری</t>
  </si>
  <si>
    <t>سرمایه ثابت یک دستگاه</t>
  </si>
  <si>
    <t>سرمایه ثابت خدمات</t>
  </si>
  <si>
    <t xml:space="preserve">سرمایه ثابت افزایش تجهیزات و ملزومات </t>
  </si>
  <si>
    <t xml:space="preserve">سرمایه در گردش دوران بهره برداری طرح تا زمان 0 اولین دوره درآمد زایی  </t>
  </si>
  <si>
    <t xml:space="preserve"> </t>
  </si>
  <si>
    <t>نرخ تعمیر و نگهدرای</t>
  </si>
  <si>
    <t>سربار</t>
  </si>
  <si>
    <t>انرژی</t>
  </si>
  <si>
    <t>سایر</t>
  </si>
  <si>
    <t>نرخ استهلاک</t>
  </si>
  <si>
    <t>نرخ تنزیل</t>
  </si>
  <si>
    <t>بیمه کار دستمزدی</t>
  </si>
  <si>
    <t>ضریب کسورات بیمه کار دستمزدی</t>
  </si>
  <si>
    <t>2 ماه</t>
  </si>
  <si>
    <t>منابع تزریق شده توسط شرکت زیما</t>
  </si>
  <si>
    <t>منابع تزریق شده توسط شرکت سابان صنعت</t>
  </si>
  <si>
    <t>میزان سهم سابان صنعت (50 درصد سود خالص)</t>
  </si>
  <si>
    <t>بهره‎برداری
دستگاه 1</t>
  </si>
  <si>
    <t>بهره‎برداری
دستگاه 2</t>
  </si>
  <si>
    <t>بهره‎برداری
دستگاه 3</t>
  </si>
  <si>
    <t>بهره‎برداری
دستگاه 4</t>
  </si>
  <si>
    <t>بهره‎برداری
دستگاه 5</t>
  </si>
  <si>
    <t>بهره‎برداری
دستگاه 6</t>
  </si>
  <si>
    <t>بهره‎برداری
دستگاه 7</t>
  </si>
  <si>
    <t>بهره‎برداری
دستگاه 8</t>
  </si>
  <si>
    <t>بهره‌برداری 
دستگاه‌های 1 و 2</t>
  </si>
  <si>
    <t>بهره‌برداری 
دستگاه‌های 3 و 4</t>
  </si>
  <si>
    <t>بهره‌برداری 
دستگاه‌های 5 و 6</t>
  </si>
  <si>
    <t>بهره‌برداری 
دستگاه‌های 7 و8</t>
  </si>
  <si>
    <t>سرمایه در گردش</t>
  </si>
  <si>
    <t>سود ناخالص</t>
  </si>
  <si>
    <t>بهره‌برداری از دستگاه 9</t>
  </si>
  <si>
    <t>بهره‌برداری از همه دستگاه‌ها</t>
  </si>
  <si>
    <t>کل هزینه سرمایه‌گذاری</t>
  </si>
  <si>
    <t>خالص جریان نقد-برای زیما</t>
  </si>
  <si>
    <t>خالص جریان نقد-برای سابان صنعت</t>
  </si>
  <si>
    <t>خالص جریان نقد کل</t>
  </si>
  <si>
    <t>سهم سابان صنعت از شرکت</t>
  </si>
  <si>
    <t>سایر منابع شرکت سابان صنعت</t>
  </si>
  <si>
    <t>جریان نقدی شرکت زیما</t>
  </si>
  <si>
    <t>جریان نقدی شرکت سابان صنعت سپاهان</t>
  </si>
  <si>
    <t>جریان نقد کل</t>
  </si>
  <si>
    <t>بازدهی طرح برای زیما</t>
  </si>
  <si>
    <t>بازدهی طرح برای سابان صنعت</t>
  </si>
  <si>
    <t>بازدهی کل طرح</t>
  </si>
  <si>
    <t>از کل هزینه ثابت</t>
  </si>
  <si>
    <t>دستگاه</t>
  </si>
  <si>
    <t>3 سال دوره ساخت</t>
  </si>
  <si>
    <t>نرخ اجاره ساعتی MOT (میلیون ریال)</t>
  </si>
  <si>
    <t>سهم زیما از شرکت</t>
  </si>
  <si>
    <t>دوره ساخت</t>
  </si>
  <si>
    <t>کل دوره بررسی</t>
  </si>
  <si>
    <t>متوسط نرخ تورم سالانه</t>
  </si>
  <si>
    <t>برای بعد از دوره ساخت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</si>
</sst>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_);[Red]\(#,##0.0000\)"/>
    <numFmt numFmtId="165" formatCode="0.0%"/>
    <numFmt numFmtId="166" formatCode="#,##0.000000_);[Red]\(#,##0.0000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Lotus"/>
      <charset val="178"/>
    </font>
    <font>
      <b/>
      <sz val="12"/>
      <color theme="1"/>
      <name val="B Lotus"/>
      <charset val="178"/>
    </font>
    <font>
      <b/>
      <sz val="16"/>
      <color theme="1"/>
      <name val="B Lotus"/>
      <charset val="178"/>
    </font>
    <font>
      <sz val="12"/>
      <color theme="1"/>
      <name val="B Lotus"/>
      <charset val="178"/>
    </font>
    <font>
      <sz val="12"/>
      <color theme="1"/>
      <name val="Calibri"/>
      <family val="2"/>
      <scheme val="minor"/>
    </font>
    <font>
      <b/>
      <sz val="14"/>
      <color theme="1"/>
      <name val="B Lotus"/>
      <charset val="178"/>
    </font>
    <font>
      <b/>
      <sz val="11"/>
      <color theme="1"/>
      <name val="B Lotus"/>
      <charset val="17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69">
    <xf numFmtId="0" fontId="0" fillId="0" borderId="0" xfId="0"/>
    <xf numFmtId="9" fontId="2" fillId="0" borderId="0" xfId="1" applyFont="1" applyAlignment="1">
      <alignment horizontal="center" vertical="center"/>
    </xf>
    <xf numFmtId="38" fontId="2" fillId="0" borderId="0" xfId="0" applyNumberFormat="1" applyFont="1" applyAlignment="1">
      <alignment horizontal="center" vertical="center"/>
    </xf>
    <xf numFmtId="38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38" fontId="2" fillId="0" borderId="1" xfId="0" applyNumberFormat="1" applyFont="1" applyBorder="1" applyAlignment="1">
      <alignment horizontal="center" vertical="center"/>
    </xf>
    <xf numFmtId="38" fontId="2" fillId="3" borderId="1" xfId="0" applyNumberFormat="1" applyFont="1" applyFill="1" applyBorder="1" applyAlignment="1">
      <alignment horizontal="center" vertical="center"/>
    </xf>
    <xf numFmtId="38" fontId="2" fillId="0" borderId="0" xfId="0" applyNumberFormat="1" applyFont="1" applyAlignment="1">
      <alignment horizontal="center" vertical="center"/>
    </xf>
    <xf numFmtId="38" fontId="2" fillId="6" borderId="0" xfId="0" applyNumberFormat="1" applyFont="1" applyFill="1" applyAlignment="1">
      <alignment horizontal="center" vertical="center"/>
    </xf>
    <xf numFmtId="40" fontId="2" fillId="0" borderId="0" xfId="0" applyNumberFormat="1" applyFont="1" applyAlignment="1">
      <alignment horizontal="center" vertical="center"/>
    </xf>
    <xf numFmtId="38" fontId="2" fillId="0" borderId="0" xfId="0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38" fontId="2" fillId="0" borderId="0" xfId="0" applyNumberFormat="1" applyFont="1" applyAlignment="1">
      <alignment horizontal="center" vertical="center"/>
    </xf>
    <xf numFmtId="38" fontId="2" fillId="3" borderId="1" xfId="0" applyNumberFormat="1" applyFont="1" applyFill="1" applyBorder="1" applyAlignment="1">
      <alignment horizontal="center" vertical="center" wrapText="1"/>
    </xf>
    <xf numFmtId="38" fontId="2" fillId="0" borderId="0" xfId="0" applyNumberFormat="1" applyFont="1" applyAlignment="1">
      <alignment horizontal="center" vertical="center"/>
    </xf>
    <xf numFmtId="38" fontId="2" fillId="0" borderId="0" xfId="0" applyNumberFormat="1" applyFont="1" applyAlignment="1">
      <alignment horizontal="center" vertical="center"/>
    </xf>
    <xf numFmtId="38" fontId="2" fillId="0" borderId="0" xfId="0" applyNumberFormat="1" applyFont="1" applyAlignment="1">
      <alignment horizontal="center" vertical="center"/>
    </xf>
    <xf numFmtId="38" fontId="2" fillId="3" borderId="1" xfId="0" applyNumberFormat="1" applyFont="1" applyFill="1" applyBorder="1" applyAlignment="1">
      <alignment horizontal="center" vertical="center" wrapText="1"/>
    </xf>
    <xf numFmtId="38" fontId="2" fillId="3" borderId="1" xfId="0" applyNumberFormat="1" applyFont="1" applyFill="1" applyBorder="1" applyAlignment="1">
      <alignment horizontal="center" vertical="center"/>
    </xf>
    <xf numFmtId="38" fontId="2" fillId="0" borderId="0" xfId="0" applyNumberFormat="1" applyFont="1" applyAlignment="1">
      <alignment horizontal="center" vertical="center"/>
    </xf>
    <xf numFmtId="38" fontId="2" fillId="0" borderId="0" xfId="0" applyNumberFormat="1" applyFont="1" applyAlignment="1">
      <alignment horizontal="right" vertical="center"/>
    </xf>
    <xf numFmtId="38" fontId="2" fillId="0" borderId="0" xfId="0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right" vertical="center"/>
    </xf>
    <xf numFmtId="10" fontId="2" fillId="0" borderId="0" xfId="0" applyNumberFormat="1" applyFont="1" applyAlignment="1">
      <alignment horizontal="center" vertical="center"/>
    </xf>
    <xf numFmtId="38" fontId="2" fillId="0" borderId="0" xfId="0" applyNumberFormat="1" applyFont="1" applyAlignment="1">
      <alignment vertical="center"/>
    </xf>
    <xf numFmtId="9" fontId="2" fillId="0" borderId="0" xfId="0" applyNumberFormat="1" applyFont="1" applyAlignment="1">
      <alignment horizontal="center" vertical="center"/>
    </xf>
    <xf numFmtId="38" fontId="2" fillId="0" borderId="0" xfId="0" applyNumberFormat="1" applyFont="1" applyAlignment="1">
      <alignment horizontal="center" vertical="center"/>
    </xf>
    <xf numFmtId="38" fontId="2" fillId="0" borderId="0" xfId="0" applyNumberFormat="1" applyFont="1" applyAlignment="1">
      <alignment horizontal="right" vertical="center"/>
    </xf>
    <xf numFmtId="38" fontId="2" fillId="3" borderId="1" xfId="0" applyNumberFormat="1" applyFont="1" applyFill="1" applyBorder="1" applyAlignment="1">
      <alignment horizontal="center" vertical="center"/>
    </xf>
    <xf numFmtId="38" fontId="2" fillId="0" borderId="0" xfId="0" applyNumberFormat="1" applyFont="1" applyAlignment="1">
      <alignment horizontal="center" vertical="center"/>
    </xf>
    <xf numFmtId="38" fontId="2" fillId="0" borderId="0" xfId="0" applyNumberFormat="1" applyFont="1" applyAlignment="1">
      <alignment horizontal="center" vertical="center" readingOrder="2"/>
    </xf>
    <xf numFmtId="0" fontId="2" fillId="2" borderId="0" xfId="0" applyNumberFormat="1" applyFont="1" applyFill="1" applyAlignment="1">
      <alignment horizontal="center" vertical="center" readingOrder="2"/>
    </xf>
    <xf numFmtId="38" fontId="2" fillId="0" borderId="0" xfId="0" applyNumberFormat="1" applyFont="1" applyAlignment="1">
      <alignment horizontal="center" vertical="center"/>
    </xf>
    <xf numFmtId="38" fontId="2" fillId="3" borderId="4" xfId="0" applyNumberFormat="1" applyFont="1" applyFill="1" applyBorder="1" applyAlignment="1">
      <alignment horizontal="center" vertical="center" wrapText="1"/>
    </xf>
    <xf numFmtId="38" fontId="2" fillId="0" borderId="0" xfId="0" applyNumberFormat="1" applyFont="1" applyAlignment="1">
      <alignment horizontal="center" vertical="center" wrapText="1"/>
    </xf>
    <xf numFmtId="0" fontId="7" fillId="2" borderId="0" xfId="0" applyNumberFormat="1" applyFont="1" applyFill="1" applyAlignment="1">
      <alignment horizontal="center" vertical="center"/>
    </xf>
    <xf numFmtId="38" fontId="2" fillId="7" borderId="0" xfId="0" applyNumberFormat="1" applyFont="1" applyFill="1" applyAlignment="1">
      <alignment horizontal="center" vertical="center"/>
    </xf>
    <xf numFmtId="0" fontId="2" fillId="7" borderId="0" xfId="0" applyNumberFormat="1" applyFont="1" applyFill="1" applyAlignment="1">
      <alignment horizontal="center" vertical="center"/>
    </xf>
    <xf numFmtId="9" fontId="2" fillId="0" borderId="0" xfId="1" applyNumberFormat="1" applyFont="1" applyAlignment="1">
      <alignment horizontal="center" vertical="center"/>
    </xf>
    <xf numFmtId="38" fontId="2" fillId="0" borderId="0" xfId="0" applyNumberFormat="1" applyFont="1" applyAlignment="1">
      <alignment horizontal="center" vertical="center"/>
    </xf>
    <xf numFmtId="38" fontId="2" fillId="8" borderId="0" xfId="0" applyNumberFormat="1" applyFont="1" applyFill="1" applyAlignment="1">
      <alignment horizontal="center" vertical="center"/>
    </xf>
    <xf numFmtId="38" fontId="2" fillId="2" borderId="0" xfId="0" applyNumberFormat="1" applyFont="1" applyFill="1" applyAlignment="1">
      <alignment horizontal="center" vertical="center"/>
    </xf>
    <xf numFmtId="38" fontId="2" fillId="9" borderId="0" xfId="0" applyNumberFormat="1" applyFont="1" applyFill="1" applyAlignment="1">
      <alignment horizontal="center" vertical="center"/>
    </xf>
    <xf numFmtId="38" fontId="2" fillId="10" borderId="0" xfId="0" applyNumberFormat="1" applyFont="1" applyFill="1" applyAlignment="1">
      <alignment horizontal="center" vertical="center"/>
    </xf>
    <xf numFmtId="38" fontId="2" fillId="11" borderId="0" xfId="0" applyNumberFormat="1" applyFont="1" applyFill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38" fontId="2" fillId="12" borderId="0" xfId="0" applyNumberFormat="1" applyFont="1" applyFill="1" applyAlignment="1">
      <alignment horizontal="center" vertical="center"/>
    </xf>
    <xf numFmtId="9" fontId="2" fillId="12" borderId="0" xfId="1" applyFont="1" applyFill="1" applyAlignment="1">
      <alignment horizontal="center" vertical="center"/>
    </xf>
    <xf numFmtId="38" fontId="3" fillId="4" borderId="0" xfId="0" applyNumberFormat="1" applyFont="1" applyFill="1" applyAlignment="1">
      <alignment vertical="center"/>
    </xf>
    <xf numFmtId="38" fontId="2" fillId="0" borderId="0" xfId="0" applyNumberFormat="1" applyFont="1" applyAlignment="1">
      <alignment horizontal="right" vertical="center" readingOrder="2"/>
    </xf>
    <xf numFmtId="10" fontId="2" fillId="0" borderId="0" xfId="1" applyNumberFormat="1" applyFont="1" applyAlignment="1">
      <alignment horizontal="center" vertical="center"/>
    </xf>
    <xf numFmtId="38" fontId="8" fillId="10" borderId="0" xfId="0" applyNumberFormat="1" applyFont="1" applyFill="1" applyAlignment="1">
      <alignment horizontal="center" vertical="center"/>
    </xf>
    <xf numFmtId="38" fontId="8" fillId="8" borderId="0" xfId="0" applyNumberFormat="1" applyFon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38" fontId="4" fillId="5" borderId="0" xfId="0" applyNumberFormat="1" applyFont="1" applyFill="1" applyAlignment="1">
      <alignment horizontal="center" vertical="center"/>
    </xf>
    <xf numFmtId="38" fontId="5" fillId="4" borderId="0" xfId="0" applyNumberFormat="1" applyFont="1" applyFill="1" applyAlignment="1">
      <alignment horizontal="center" vertical="center"/>
    </xf>
    <xf numFmtId="38" fontId="3" fillId="4" borderId="5" xfId="0" applyNumberFormat="1" applyFont="1" applyFill="1" applyBorder="1" applyAlignment="1">
      <alignment horizontal="center" vertical="center"/>
    </xf>
    <xf numFmtId="38" fontId="3" fillId="4" borderId="6" xfId="0" applyNumberFormat="1" applyFont="1" applyFill="1" applyBorder="1" applyAlignment="1">
      <alignment horizontal="center" vertical="center"/>
    </xf>
    <xf numFmtId="38" fontId="3" fillId="4" borderId="7" xfId="0" applyNumberFormat="1" applyFont="1" applyFill="1" applyBorder="1" applyAlignment="1">
      <alignment horizontal="center" vertical="center"/>
    </xf>
    <xf numFmtId="38" fontId="3" fillId="4" borderId="0" xfId="0" applyNumberFormat="1" applyFont="1" applyFill="1" applyAlignment="1">
      <alignment horizontal="center" vertical="center"/>
    </xf>
    <xf numFmtId="38" fontId="2" fillId="3" borderId="2" xfId="0" applyNumberFormat="1" applyFont="1" applyFill="1" applyBorder="1" applyAlignment="1">
      <alignment horizontal="center" vertical="center"/>
    </xf>
    <xf numFmtId="38" fontId="2" fillId="3" borderId="3" xfId="0" applyNumberFormat="1" applyFont="1" applyFill="1" applyBorder="1" applyAlignment="1">
      <alignment horizontal="center" vertical="center"/>
    </xf>
    <xf numFmtId="38" fontId="2" fillId="3" borderId="4" xfId="0" applyNumberFormat="1" applyFont="1" applyFill="1" applyBorder="1" applyAlignment="1">
      <alignment horizontal="center" vertical="center"/>
    </xf>
    <xf numFmtId="38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3">
    <cellStyle name="Normal" xfId="0" builtinId="0"/>
    <cellStyle name="Normal 2 11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'فروض و نتایج'!$C$47:$T$47</c:f>
              <c:numCache>
                <c:formatCode>#,##0_);[Red]\(#,##0\)</c:formatCode>
                <c:ptCount val="18"/>
                <c:pt idx="0">
                  <c:v>158079.1</c:v>
                </c:pt>
                <c:pt idx="1">
                  <c:v>158079.1</c:v>
                </c:pt>
                <c:pt idx="2">
                  <c:v>96052.733333333337</c:v>
                </c:pt>
                <c:pt idx="3">
                  <c:v>96052.733333333337</c:v>
                </c:pt>
                <c:pt idx="4">
                  <c:v>96052.733333333337</c:v>
                </c:pt>
                <c:pt idx="5">
                  <c:v>87052.733333333337</c:v>
                </c:pt>
                <c:pt idx="6">
                  <c:v>87052.733333333337</c:v>
                </c:pt>
                <c:pt idx="7">
                  <c:v>87052.733333333337</c:v>
                </c:pt>
                <c:pt idx="8">
                  <c:v>73052.733333333337</c:v>
                </c:pt>
                <c:pt idx="9">
                  <c:v>73052.733333333337</c:v>
                </c:pt>
                <c:pt idx="10">
                  <c:v>73052.733333333337</c:v>
                </c:pt>
                <c:pt idx="11">
                  <c:v>21920.899999999674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8-4FC0-B8CB-93C18B2E38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'فروض و نتایج'!$C$48:$T$48</c:f>
              <c:numCache>
                <c:formatCode>#,##0_);[Red]\(#,##0\)</c:formatCode>
                <c:ptCount val="18"/>
                <c:pt idx="0">
                  <c:v>5000</c:v>
                </c:pt>
                <c:pt idx="1">
                  <c:v>10000</c:v>
                </c:pt>
                <c:pt idx="2">
                  <c:v>10000</c:v>
                </c:pt>
                <c:pt idx="3">
                  <c:v>6000</c:v>
                </c:pt>
                <c:pt idx="4">
                  <c:v>12000</c:v>
                </c:pt>
                <c:pt idx="5">
                  <c:v>12000</c:v>
                </c:pt>
                <c:pt idx="6">
                  <c:v>18000</c:v>
                </c:pt>
                <c:pt idx="7">
                  <c:v>25000</c:v>
                </c:pt>
                <c:pt idx="8">
                  <c:v>25000</c:v>
                </c:pt>
                <c:pt idx="9">
                  <c:v>32000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8-4FC0-B8CB-93C18B2E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6526400"/>
        <c:axId val="-2136524768"/>
      </c:lineChart>
      <c:catAx>
        <c:axId val="-213652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524768"/>
        <c:crosses val="autoZero"/>
        <c:auto val="1"/>
        <c:lblAlgn val="ctr"/>
        <c:lblOffset val="100"/>
        <c:noMultiLvlLbl val="0"/>
      </c:catAx>
      <c:valAx>
        <c:axId val="-21365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5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49</xdr:row>
      <xdr:rowOff>109537</xdr:rowOff>
    </xdr:from>
    <xdr:to>
      <xdr:col>13</xdr:col>
      <xdr:colOff>571500</xdr:colOff>
      <xdr:row>60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"/>
  <sheetViews>
    <sheetView rightToLeft="1" tabSelected="1" topLeftCell="A40" zoomScaleNormal="100" workbookViewId="0">
      <selection activeCell="C47" sqref="C47:D47"/>
    </sheetView>
  </sheetViews>
  <sheetFormatPr defaultRowHeight="19.5" x14ac:dyDescent="0.25"/>
  <cols>
    <col min="1" max="1" width="33.140625" style="2" bestFit="1" customWidth="1"/>
    <col min="2" max="2" width="20.7109375" style="2" customWidth="1"/>
    <col min="3" max="3" width="10.42578125" style="2" bestFit="1" customWidth="1"/>
    <col min="4" max="5" width="9.140625" style="2"/>
    <col min="6" max="11" width="9.140625" style="30"/>
    <col min="12" max="12" width="10.85546875" style="2" bestFit="1" customWidth="1"/>
    <col min="13" max="13" width="9.140625" style="2"/>
    <col min="14" max="14" width="11.85546875" style="33" customWidth="1"/>
    <col min="15" max="19" width="9.140625" style="33"/>
    <col min="20" max="20" width="8.85546875" style="33" bestFit="1" customWidth="1"/>
    <col min="21" max="21" width="28.28515625" style="33" bestFit="1" customWidth="1"/>
    <col min="22" max="22" width="9.140625" style="33"/>
    <col min="23" max="23" width="9.140625" style="30"/>
    <col min="24" max="24" width="9.42578125" style="2" bestFit="1" customWidth="1"/>
    <col min="25" max="32" width="9.140625" style="2"/>
    <col min="33" max="33" width="9.42578125" style="2" bestFit="1" customWidth="1"/>
    <col min="34" max="16384" width="9.140625" style="2"/>
  </cols>
  <sheetData>
    <row r="1" spans="1:33" ht="29.25" x14ac:dyDescent="0.2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</row>
    <row r="2" spans="1:33" ht="21" x14ac:dyDescent="0.25"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</row>
    <row r="3" spans="1:33" x14ac:dyDescent="0.25">
      <c r="A3" s="2" t="s">
        <v>71</v>
      </c>
      <c r="B3" s="1">
        <v>0.05</v>
      </c>
      <c r="C3" s="31" t="s">
        <v>72</v>
      </c>
      <c r="D3" s="33"/>
      <c r="E3" s="33"/>
    </row>
    <row r="4" spans="1:33" x14ac:dyDescent="0.25">
      <c r="A4" s="2" t="s">
        <v>3</v>
      </c>
      <c r="B4" s="33">
        <v>13</v>
      </c>
      <c r="C4" s="53" t="s">
        <v>66</v>
      </c>
      <c r="D4" s="33"/>
      <c r="E4" s="33"/>
    </row>
    <row r="5" spans="1:33" x14ac:dyDescent="0.25">
      <c r="A5" s="43" t="s">
        <v>4</v>
      </c>
      <c r="B5" s="33" t="s">
        <v>10</v>
      </c>
      <c r="C5" s="31">
        <v>10</v>
      </c>
      <c r="D5" s="31" t="s">
        <v>65</v>
      </c>
      <c r="E5" s="31"/>
    </row>
    <row r="6" spans="1:33" x14ac:dyDescent="0.25">
      <c r="A6" s="2" t="s">
        <v>6</v>
      </c>
      <c r="B6" s="1">
        <v>0.25</v>
      </c>
      <c r="C6" s="33"/>
      <c r="D6" s="33"/>
      <c r="E6" s="33"/>
    </row>
    <row r="7" spans="1:33" x14ac:dyDescent="0.25">
      <c r="A7" s="2" t="s">
        <v>67</v>
      </c>
      <c r="B7" s="25">
        <v>35</v>
      </c>
      <c r="C7" s="33"/>
      <c r="D7" s="33"/>
      <c r="E7" s="33"/>
    </row>
    <row r="8" spans="1:33" x14ac:dyDescent="0.25">
      <c r="A8" s="2" t="s">
        <v>11</v>
      </c>
      <c r="B8" s="25">
        <v>20</v>
      </c>
      <c r="C8" s="33"/>
      <c r="D8" s="33"/>
      <c r="E8" s="33"/>
    </row>
    <row r="9" spans="1:33" x14ac:dyDescent="0.25">
      <c r="A9" s="2" t="s">
        <v>12</v>
      </c>
      <c r="B9" s="25">
        <v>24</v>
      </c>
      <c r="C9" s="33"/>
      <c r="D9" s="33"/>
      <c r="E9" s="33"/>
      <c r="X9" s="22"/>
    </row>
    <row r="10" spans="1:33" x14ac:dyDescent="0.25">
      <c r="A10" s="2" t="s">
        <v>13</v>
      </c>
      <c r="B10" s="25">
        <v>12</v>
      </c>
      <c r="C10" s="1"/>
      <c r="D10" s="33"/>
      <c r="E10" s="33"/>
    </row>
    <row r="11" spans="1:33" s="22" customFormat="1" x14ac:dyDescent="0.25">
      <c r="A11" s="67" t="s">
        <v>18</v>
      </c>
      <c r="B11" s="33" t="s">
        <v>10</v>
      </c>
      <c r="C11" s="25">
        <f>(F11*10)+F12+F13+F14</f>
        <v>1580791</v>
      </c>
      <c r="D11" s="33">
        <f>C11/2</f>
        <v>790395.5</v>
      </c>
      <c r="E11" s="33"/>
      <c r="F11" s="2">
        <v>130692</v>
      </c>
      <c r="G11" s="23" t="s">
        <v>19</v>
      </c>
      <c r="H11" s="30"/>
      <c r="I11" s="30"/>
      <c r="J11" s="30"/>
      <c r="K11" s="30"/>
      <c r="N11" s="33"/>
      <c r="O11" s="33"/>
      <c r="P11" s="33"/>
      <c r="Q11" s="33"/>
      <c r="R11" s="33"/>
      <c r="S11" s="33"/>
      <c r="T11" s="33"/>
      <c r="U11" s="33"/>
      <c r="V11" s="33"/>
      <c r="W11" s="30"/>
    </row>
    <row r="12" spans="1:33" s="22" customFormat="1" x14ac:dyDescent="0.25">
      <c r="A12" s="67"/>
      <c r="B12" s="33"/>
      <c r="C12" s="25"/>
      <c r="D12" s="33"/>
      <c r="E12" s="33"/>
      <c r="F12" s="22">
        <v>141349</v>
      </c>
      <c r="G12" s="26" t="s">
        <v>20</v>
      </c>
      <c r="H12" s="30"/>
      <c r="I12" s="30"/>
      <c r="J12" s="30"/>
      <c r="K12" s="30"/>
      <c r="N12" s="33"/>
      <c r="O12" s="33"/>
      <c r="P12" s="33"/>
      <c r="Q12" s="33"/>
      <c r="R12" s="33"/>
      <c r="S12" s="33"/>
      <c r="T12" s="33"/>
      <c r="U12" s="33"/>
      <c r="V12" s="33"/>
      <c r="W12" s="30"/>
    </row>
    <row r="13" spans="1:33" s="22" customFormat="1" x14ac:dyDescent="0.25">
      <c r="A13" s="67"/>
      <c r="B13" s="33"/>
      <c r="C13" s="25"/>
      <c r="D13" s="33"/>
      <c r="E13" s="33"/>
      <c r="F13" s="22">
        <v>21400</v>
      </c>
      <c r="G13" s="23" t="s">
        <v>21</v>
      </c>
      <c r="H13" s="30"/>
      <c r="I13" s="30"/>
      <c r="J13" s="30"/>
      <c r="K13" s="30"/>
      <c r="N13" s="33"/>
      <c r="O13" s="33"/>
      <c r="P13" s="33"/>
      <c r="Q13" s="33"/>
      <c r="R13" s="33"/>
      <c r="S13" s="33"/>
      <c r="T13" s="33"/>
      <c r="U13" s="33"/>
      <c r="V13" s="33"/>
      <c r="W13" s="30"/>
    </row>
    <row r="14" spans="1:33" s="22" customFormat="1" x14ac:dyDescent="0.25">
      <c r="A14" s="67"/>
      <c r="B14" s="33"/>
      <c r="C14" s="25"/>
      <c r="D14" s="33"/>
      <c r="E14" s="33"/>
      <c r="F14" s="22">
        <v>111122</v>
      </c>
      <c r="G14" s="23" t="s">
        <v>22</v>
      </c>
      <c r="H14" s="30"/>
      <c r="I14" s="30"/>
      <c r="J14" s="30"/>
      <c r="K14" s="30"/>
      <c r="N14" s="33"/>
      <c r="O14" s="33"/>
      <c r="P14" s="33"/>
      <c r="Q14" s="33"/>
      <c r="R14" s="33"/>
      <c r="S14" s="33"/>
      <c r="T14" s="33"/>
      <c r="U14" s="33"/>
      <c r="V14" s="33"/>
      <c r="W14" s="30"/>
      <c r="X14" s="6"/>
      <c r="Y14" s="22" t="s">
        <v>23</v>
      </c>
    </row>
    <row r="15" spans="1:33" s="22" customFormat="1" x14ac:dyDescent="0.25">
      <c r="A15" s="50" t="s">
        <v>24</v>
      </c>
      <c r="B15" s="51">
        <v>0.03</v>
      </c>
      <c r="C15" s="51" t="s">
        <v>64</v>
      </c>
      <c r="D15" s="33"/>
      <c r="E15" s="33"/>
      <c r="F15" s="30"/>
      <c r="G15" s="30"/>
      <c r="H15" s="30"/>
      <c r="I15" s="30"/>
      <c r="J15" s="30"/>
      <c r="K15" s="30"/>
      <c r="N15" s="33"/>
      <c r="O15" s="33"/>
      <c r="P15" s="33"/>
      <c r="Q15" s="33"/>
      <c r="R15" s="33"/>
      <c r="S15" s="33"/>
      <c r="T15" s="33"/>
      <c r="U15" s="33"/>
      <c r="V15" s="33"/>
      <c r="W15" s="30"/>
      <c r="X15" s="6"/>
    </row>
    <row r="16" spans="1:33" s="22" customFormat="1" x14ac:dyDescent="0.25">
      <c r="A16" s="50" t="s">
        <v>28</v>
      </c>
      <c r="B16" s="51">
        <v>0.1</v>
      </c>
      <c r="C16" s="51"/>
      <c r="D16" s="33"/>
      <c r="E16" s="33"/>
      <c r="F16" s="30"/>
      <c r="G16" s="30"/>
      <c r="H16" s="30"/>
      <c r="I16" s="30"/>
      <c r="J16" s="30"/>
      <c r="K16" s="30"/>
      <c r="N16" s="33"/>
      <c r="O16" s="33"/>
      <c r="P16" s="33"/>
      <c r="Q16" s="33"/>
      <c r="R16" s="33"/>
      <c r="S16" s="33"/>
      <c r="T16" s="33"/>
      <c r="U16" s="33"/>
      <c r="V16" s="33"/>
      <c r="W16" s="30"/>
      <c r="X16" s="6"/>
    </row>
    <row r="17" spans="1:34" s="22" customFormat="1" x14ac:dyDescent="0.25">
      <c r="A17" s="50" t="s">
        <v>29</v>
      </c>
      <c r="B17" s="51">
        <v>0.25</v>
      </c>
      <c r="C17" s="51"/>
      <c r="D17" s="33"/>
      <c r="E17" s="33"/>
      <c r="F17" s="30"/>
      <c r="G17" s="30"/>
      <c r="H17" s="30"/>
      <c r="I17" s="30"/>
      <c r="J17" s="30"/>
      <c r="K17" s="30"/>
      <c r="N17" s="33"/>
      <c r="O17" s="33"/>
      <c r="P17" s="33"/>
      <c r="Q17" s="33"/>
      <c r="R17" s="33"/>
      <c r="S17" s="33"/>
      <c r="T17" s="33"/>
      <c r="U17" s="33"/>
      <c r="V17" s="33"/>
      <c r="W17" s="30"/>
      <c r="X17" s="6"/>
    </row>
    <row r="18" spans="1:34" s="22" customFormat="1" x14ac:dyDescent="0.25">
      <c r="A18" s="22" t="s">
        <v>31</v>
      </c>
      <c r="B18" s="14">
        <v>0.16700000000000001</v>
      </c>
      <c r="C18" s="1"/>
      <c r="D18" s="33"/>
      <c r="E18" s="33"/>
      <c r="F18" s="30"/>
      <c r="G18" s="30"/>
      <c r="H18" s="30"/>
      <c r="I18" s="30"/>
      <c r="J18" s="30"/>
      <c r="K18" s="30"/>
      <c r="N18" s="33"/>
      <c r="O18" s="33"/>
      <c r="P18" s="33"/>
      <c r="Q18" s="33"/>
      <c r="R18" s="33"/>
      <c r="S18" s="33"/>
      <c r="T18" s="33"/>
      <c r="U18" s="33"/>
      <c r="V18" s="33"/>
      <c r="W18" s="30"/>
      <c r="X18" s="6"/>
    </row>
    <row r="19" spans="1:34" s="33" customFormat="1" x14ac:dyDescent="0.25">
      <c r="A19" s="33" t="s">
        <v>56</v>
      </c>
      <c r="B19" s="42">
        <v>0.5</v>
      </c>
      <c r="C19" s="1"/>
      <c r="X19" s="6"/>
    </row>
    <row r="20" spans="1:34" s="28" customFormat="1" x14ac:dyDescent="0.25">
      <c r="A20" s="43" t="s">
        <v>68</v>
      </c>
      <c r="B20" s="42">
        <f>1-B19</f>
        <v>0.5</v>
      </c>
    </row>
    <row r="21" spans="1:34" ht="21" customHeight="1" x14ac:dyDescent="0.25">
      <c r="A21" s="52"/>
      <c r="B21" s="52"/>
      <c r="C21" s="60" t="s">
        <v>69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  <c r="U21" s="52"/>
      <c r="V21" s="63" t="s">
        <v>70</v>
      </c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</row>
    <row r="22" spans="1:34" x14ac:dyDescent="0.25">
      <c r="A22" s="3"/>
      <c r="B22" s="3"/>
      <c r="C22" s="68">
        <v>1397</v>
      </c>
      <c r="D22" s="68"/>
      <c r="E22" s="68"/>
      <c r="F22" s="68"/>
      <c r="G22" s="68"/>
      <c r="H22" s="68"/>
      <c r="I22" s="68">
        <v>1398</v>
      </c>
      <c r="J22" s="68"/>
      <c r="K22" s="68"/>
      <c r="L22" s="68"/>
      <c r="M22" s="68"/>
      <c r="N22" s="68"/>
      <c r="O22" s="68">
        <v>1399</v>
      </c>
      <c r="P22" s="68"/>
      <c r="Q22" s="68"/>
      <c r="R22" s="68"/>
      <c r="S22" s="68"/>
      <c r="T22" s="68"/>
      <c r="U22" s="28"/>
      <c r="V22" s="33">
        <v>1</v>
      </c>
      <c r="W22" s="33">
        <v>2</v>
      </c>
      <c r="X22" s="33">
        <v>3</v>
      </c>
      <c r="Y22" s="33">
        <v>4</v>
      </c>
      <c r="Z22" s="33">
        <v>5</v>
      </c>
      <c r="AA22" s="33">
        <v>6</v>
      </c>
      <c r="AB22" s="33">
        <v>7</v>
      </c>
      <c r="AC22" s="33">
        <v>8</v>
      </c>
      <c r="AD22" s="33">
        <v>9</v>
      </c>
      <c r="AE22" s="33">
        <v>10</v>
      </c>
      <c r="AF22" s="33">
        <v>11</v>
      </c>
      <c r="AG22" s="33">
        <v>12</v>
      </c>
      <c r="AH22" s="33">
        <v>13</v>
      </c>
    </row>
    <row r="23" spans="1:34" s="22" customFormat="1" ht="58.5" x14ac:dyDescent="0.25">
      <c r="E23" s="38" t="s">
        <v>36</v>
      </c>
      <c r="F23" s="38" t="s">
        <v>37</v>
      </c>
      <c r="G23" s="38" t="s">
        <v>44</v>
      </c>
      <c r="H23" s="38" t="s">
        <v>38</v>
      </c>
      <c r="I23" s="38" t="s">
        <v>39</v>
      </c>
      <c r="J23" s="38" t="s">
        <v>45</v>
      </c>
      <c r="K23" s="38" t="s">
        <v>40</v>
      </c>
      <c r="L23" s="38" t="s">
        <v>41</v>
      </c>
      <c r="M23" s="38" t="s">
        <v>46</v>
      </c>
      <c r="N23" s="38" t="s">
        <v>42</v>
      </c>
      <c r="O23" s="38" t="s">
        <v>43</v>
      </c>
      <c r="P23" s="38" t="s">
        <v>47</v>
      </c>
      <c r="Q23" s="38" t="s">
        <v>47</v>
      </c>
      <c r="R23" s="38" t="s">
        <v>50</v>
      </c>
      <c r="S23" s="38" t="s">
        <v>50</v>
      </c>
      <c r="T23" s="38" t="s">
        <v>51</v>
      </c>
      <c r="U23" s="38"/>
      <c r="V23" s="29">
        <f>V25/Y25</f>
        <v>0.12698412698412698</v>
      </c>
      <c r="W23" s="29">
        <f>W25/Y25</f>
        <v>0.50793650793650791</v>
      </c>
      <c r="X23" s="29">
        <f>X25/Y25</f>
        <v>0.82539682539682535</v>
      </c>
      <c r="Y23" s="27">
        <v>1</v>
      </c>
      <c r="Z23" s="27">
        <v>1</v>
      </c>
      <c r="AA23" s="27">
        <v>1</v>
      </c>
      <c r="AB23" s="27">
        <v>1</v>
      </c>
      <c r="AC23" s="27">
        <v>1</v>
      </c>
      <c r="AD23" s="27">
        <v>1</v>
      </c>
      <c r="AE23" s="27">
        <v>1</v>
      </c>
      <c r="AF23" s="27">
        <v>1</v>
      </c>
      <c r="AG23" s="27">
        <v>1</v>
      </c>
      <c r="AH23" s="27">
        <v>1</v>
      </c>
    </row>
    <row r="24" spans="1:34" s="4" customFormat="1" ht="27" x14ac:dyDescent="0.25">
      <c r="A24" s="7"/>
      <c r="C24" s="35" t="s">
        <v>32</v>
      </c>
      <c r="D24" s="35" t="s">
        <v>32</v>
      </c>
      <c r="E24" s="35" t="s">
        <v>32</v>
      </c>
      <c r="F24" s="35" t="s">
        <v>32</v>
      </c>
      <c r="G24" s="35" t="s">
        <v>32</v>
      </c>
      <c r="H24" s="35" t="s">
        <v>32</v>
      </c>
      <c r="I24" s="35" t="s">
        <v>32</v>
      </c>
      <c r="J24" s="35" t="s">
        <v>32</v>
      </c>
      <c r="K24" s="35" t="s">
        <v>32</v>
      </c>
      <c r="L24" s="35" t="s">
        <v>32</v>
      </c>
      <c r="M24" s="35" t="s">
        <v>32</v>
      </c>
      <c r="N24" s="35" t="s">
        <v>32</v>
      </c>
      <c r="O24" s="35" t="s">
        <v>32</v>
      </c>
      <c r="P24" s="35" t="s">
        <v>32</v>
      </c>
      <c r="Q24" s="35" t="s">
        <v>32</v>
      </c>
      <c r="R24" s="35" t="s">
        <v>32</v>
      </c>
      <c r="S24" s="35" t="s">
        <v>32</v>
      </c>
      <c r="T24" s="35" t="s">
        <v>32</v>
      </c>
      <c r="U24" s="35"/>
      <c r="V24" s="5">
        <v>1397</v>
      </c>
      <c r="W24" s="5">
        <v>1398</v>
      </c>
      <c r="X24" s="5">
        <v>1399</v>
      </c>
      <c r="Y24" s="39">
        <v>1400</v>
      </c>
      <c r="Z24" s="5">
        <v>1401</v>
      </c>
      <c r="AA24" s="5">
        <v>1402</v>
      </c>
      <c r="AB24" s="5">
        <v>1403</v>
      </c>
      <c r="AC24" s="5">
        <v>1404</v>
      </c>
      <c r="AD24" s="5">
        <v>1405</v>
      </c>
      <c r="AE24" s="5">
        <v>1406</v>
      </c>
      <c r="AF24" s="5">
        <v>1407</v>
      </c>
      <c r="AG24" s="5">
        <v>1408</v>
      </c>
      <c r="AH24" s="5">
        <v>1409</v>
      </c>
    </row>
    <row r="25" spans="1:34" s="4" customFormat="1" x14ac:dyDescent="0.25">
      <c r="A25" s="32" t="s">
        <v>14</v>
      </c>
      <c r="B25" s="22" t="s">
        <v>10</v>
      </c>
      <c r="C25" s="33">
        <v>0</v>
      </c>
      <c r="D25" s="30">
        <v>0</v>
      </c>
      <c r="E25" s="33">
        <f>$B$8*$B$9*$B$7*2</f>
        <v>33600</v>
      </c>
      <c r="F25" s="33">
        <f>$B$8*$B$9*$B$7*2+(E25)</f>
        <v>67200</v>
      </c>
      <c r="G25" s="33">
        <f>F25</f>
        <v>67200</v>
      </c>
      <c r="H25" s="33">
        <f>$B$8*$B$9*$B$7*2+G25</f>
        <v>100800</v>
      </c>
      <c r="I25" s="33">
        <f>$B$8*$B$9*$B$7*2+H25</f>
        <v>134400</v>
      </c>
      <c r="J25" s="33">
        <f>I25</f>
        <v>134400</v>
      </c>
      <c r="K25" s="33">
        <f>$B$8*$B$9*$B$7*2+J25</f>
        <v>168000</v>
      </c>
      <c r="L25" s="33">
        <f>$B$8*$B$9*$B$7*2+K25</f>
        <v>201600</v>
      </c>
      <c r="M25" s="33">
        <f>L25</f>
        <v>201600</v>
      </c>
      <c r="N25" s="33">
        <f>$B$8*$B$9*$B$7*2+M25</f>
        <v>235200</v>
      </c>
      <c r="O25" s="33">
        <f>$B$8*$B$9*$B$7*2+N25</f>
        <v>268800</v>
      </c>
      <c r="P25" s="33">
        <f>O25</f>
        <v>268800</v>
      </c>
      <c r="Q25" s="33">
        <f>P25</f>
        <v>268800</v>
      </c>
      <c r="R25" s="33">
        <f>$B$8*$B$9*$B$7*2+P25</f>
        <v>302400</v>
      </c>
      <c r="S25" s="33">
        <f>$B$8*$B$9*$B$7*2+Q25</f>
        <v>302400</v>
      </c>
      <c r="T25" s="33">
        <f>$B$8*$B$9*$B$7*2+S25</f>
        <v>336000</v>
      </c>
      <c r="U25" s="33"/>
      <c r="V25" s="33">
        <f>SUM(C25:H25)</f>
        <v>268800</v>
      </c>
      <c r="W25" s="28">
        <f>SUM(I25:N25)</f>
        <v>1075200</v>
      </c>
      <c r="X25" s="28">
        <f>SUM(O25:T25)</f>
        <v>1747200</v>
      </c>
      <c r="Y25" s="40">
        <f>B8*B9*B10*B7*C5*Y23*(1+$B$3)</f>
        <v>2116800</v>
      </c>
      <c r="Z25" s="24">
        <f t="shared" ref="Z25:AH25" si="0">Y25*(1+$B$3)</f>
        <v>2222640</v>
      </c>
      <c r="AA25" s="24">
        <f t="shared" si="0"/>
        <v>2333772</v>
      </c>
      <c r="AB25" s="24">
        <f t="shared" si="0"/>
        <v>2450460.6</v>
      </c>
      <c r="AC25" s="24">
        <f t="shared" si="0"/>
        <v>2572983.6300000004</v>
      </c>
      <c r="AD25" s="24">
        <f t="shared" si="0"/>
        <v>2701632.8115000003</v>
      </c>
      <c r="AE25" s="24">
        <f t="shared" si="0"/>
        <v>2836714.4520750004</v>
      </c>
      <c r="AF25" s="24">
        <f t="shared" si="0"/>
        <v>2978550.1746787503</v>
      </c>
      <c r="AG25" s="24">
        <f t="shared" si="0"/>
        <v>3127477.6834126879</v>
      </c>
      <c r="AH25" s="33">
        <f t="shared" si="0"/>
        <v>3283851.5675833225</v>
      </c>
    </row>
    <row r="26" spans="1:34" s="4" customFormat="1" x14ac:dyDescent="0.25">
      <c r="A26" s="7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V26" s="43"/>
      <c r="W26" s="28"/>
      <c r="X26" s="28"/>
      <c r="Y26" s="41"/>
    </row>
    <row r="27" spans="1:34" x14ac:dyDescent="0.25">
      <c r="A27" s="64" t="s">
        <v>15</v>
      </c>
      <c r="B27" s="2" t="s">
        <v>16</v>
      </c>
      <c r="D27" s="30"/>
      <c r="E27" s="33">
        <f>Y27/10/6</f>
        <v>2064.2999999999997</v>
      </c>
      <c r="F27" s="33">
        <f>E27*2</f>
        <v>4128.5999999999995</v>
      </c>
      <c r="G27" s="33">
        <f>F27</f>
        <v>4128.5999999999995</v>
      </c>
      <c r="H27" s="33">
        <f>G27+$E27</f>
        <v>6192.9</v>
      </c>
      <c r="I27" s="33">
        <f t="shared" ref="I27:N27" si="1">H27+$E27</f>
        <v>8257.1999999999989</v>
      </c>
      <c r="J27" s="33">
        <f>I27</f>
        <v>8257.1999999999989</v>
      </c>
      <c r="K27" s="33">
        <f>J27+$E27</f>
        <v>10321.499999999998</v>
      </c>
      <c r="L27" s="33">
        <f>K27+$E27</f>
        <v>12385.799999999997</v>
      </c>
      <c r="M27" s="33">
        <f>L27</f>
        <v>12385.799999999997</v>
      </c>
      <c r="N27" s="33">
        <f t="shared" si="1"/>
        <v>14450.099999999997</v>
      </c>
      <c r="O27" s="33">
        <f t="shared" ref="O27" si="2">N27+$E27</f>
        <v>16514.399999999998</v>
      </c>
      <c r="P27" s="33">
        <f>O27</f>
        <v>16514.399999999998</v>
      </c>
      <c r="Q27" s="33">
        <f>P27</f>
        <v>16514.399999999998</v>
      </c>
      <c r="R27" s="33">
        <f>Q27+$E27</f>
        <v>18578.699999999997</v>
      </c>
      <c r="S27" s="33">
        <f>R27</f>
        <v>18578.699999999997</v>
      </c>
      <c r="T27" s="33">
        <f>S27+$E27</f>
        <v>20642.999999999996</v>
      </c>
      <c r="V27" s="43">
        <f t="shared" ref="V27:V32" si="3">SUM(C27:H27)</f>
        <v>16514.400000000001</v>
      </c>
      <c r="W27" s="28">
        <f t="shared" ref="W27:W32" si="4">SUM(I27:N27)</f>
        <v>66057.599999999977</v>
      </c>
      <c r="X27" s="28">
        <f t="shared" ref="X27:X32" si="5">SUM(O27:T27)</f>
        <v>107343.59999999999</v>
      </c>
      <c r="Y27" s="40">
        <f>11796*C5*(1+$B$3)</f>
        <v>123858</v>
      </c>
      <c r="Z27" s="22">
        <f t="shared" ref="Z27:AH27" si="6">Y27*(1+$B$3)</f>
        <v>130050.90000000001</v>
      </c>
      <c r="AA27" s="22">
        <f t="shared" si="6"/>
        <v>136553.44500000001</v>
      </c>
      <c r="AB27" s="22">
        <f t="shared" si="6"/>
        <v>143381.11725000001</v>
      </c>
      <c r="AC27" s="22">
        <f t="shared" si="6"/>
        <v>150550.17311250002</v>
      </c>
      <c r="AD27" s="22">
        <f t="shared" si="6"/>
        <v>158077.68176812504</v>
      </c>
      <c r="AE27" s="22">
        <f t="shared" si="6"/>
        <v>165981.56585653129</v>
      </c>
      <c r="AF27" s="22">
        <f t="shared" si="6"/>
        <v>174280.64414935786</v>
      </c>
      <c r="AG27" s="22">
        <f t="shared" si="6"/>
        <v>182994.67635682577</v>
      </c>
      <c r="AH27" s="33">
        <f t="shared" si="6"/>
        <v>192144.41017466708</v>
      </c>
    </row>
    <row r="28" spans="1:34" x14ac:dyDescent="0.25">
      <c r="A28" s="65"/>
      <c r="B28" s="2" t="s">
        <v>17</v>
      </c>
      <c r="C28" s="33"/>
      <c r="D28" s="33"/>
      <c r="E28" s="33">
        <f t="shared" ref="E28:E32" si="7">Y28/10/6</f>
        <v>3099.6</v>
      </c>
      <c r="F28" s="33">
        <f t="shared" ref="F28:F32" si="8">E28*2</f>
        <v>6199.2</v>
      </c>
      <c r="G28" s="33">
        <f t="shared" ref="G28:G32" si="9">F28</f>
        <v>6199.2</v>
      </c>
      <c r="H28" s="33">
        <f t="shared" ref="H28:I28" si="10">G28+$E28</f>
        <v>9298.7999999999993</v>
      </c>
      <c r="I28" s="33">
        <f t="shared" si="10"/>
        <v>12398.4</v>
      </c>
      <c r="J28" s="33">
        <f t="shared" ref="J28:J32" si="11">I28</f>
        <v>12398.4</v>
      </c>
      <c r="K28" s="33">
        <f t="shared" ref="K28:L28" si="12">J28+$E28</f>
        <v>15498</v>
      </c>
      <c r="L28" s="33">
        <f t="shared" si="12"/>
        <v>18597.599999999999</v>
      </c>
      <c r="M28" s="33">
        <f t="shared" ref="M28:M32" si="13">L28</f>
        <v>18597.599999999999</v>
      </c>
      <c r="N28" s="33">
        <f t="shared" ref="N28:O28" si="14">M28+$E28</f>
        <v>21697.199999999997</v>
      </c>
      <c r="O28" s="33">
        <f t="shared" si="14"/>
        <v>24796.799999999996</v>
      </c>
      <c r="P28" s="33">
        <f t="shared" ref="P28:Q28" si="15">O28</f>
        <v>24796.799999999996</v>
      </c>
      <c r="Q28" s="33">
        <f t="shared" si="15"/>
        <v>24796.799999999996</v>
      </c>
      <c r="R28" s="33">
        <f t="shared" ref="R28:R32" si="16">Q28+$E28</f>
        <v>27896.399999999994</v>
      </c>
      <c r="S28" s="33">
        <f t="shared" ref="S28:S32" si="17">R28</f>
        <v>27896.399999999994</v>
      </c>
      <c r="T28" s="33">
        <f t="shared" ref="T28:T32" si="18">S28+$E28</f>
        <v>30995.999999999993</v>
      </c>
      <c r="V28" s="43">
        <f t="shared" si="3"/>
        <v>24796.799999999999</v>
      </c>
      <c r="W28" s="28">
        <f t="shared" si="4"/>
        <v>99187.199999999997</v>
      </c>
      <c r="X28" s="28">
        <f t="shared" si="5"/>
        <v>161179.19999999998</v>
      </c>
      <c r="Y28" s="40">
        <f>17712*C5*(1+$B$3)</f>
        <v>185976</v>
      </c>
      <c r="Z28" s="22">
        <f t="shared" ref="Z28:AH28" si="19">Y28*(1+$B$3)</f>
        <v>195274.80000000002</v>
      </c>
      <c r="AA28" s="22">
        <f t="shared" si="19"/>
        <v>205038.54000000004</v>
      </c>
      <c r="AB28" s="22">
        <f t="shared" si="19"/>
        <v>215290.46700000006</v>
      </c>
      <c r="AC28" s="22">
        <f t="shared" si="19"/>
        <v>226054.99035000007</v>
      </c>
      <c r="AD28" s="22">
        <f t="shared" si="19"/>
        <v>237357.73986750009</v>
      </c>
      <c r="AE28" s="22">
        <f t="shared" si="19"/>
        <v>249225.62686087511</v>
      </c>
      <c r="AF28" s="22">
        <f t="shared" si="19"/>
        <v>261686.90820391887</v>
      </c>
      <c r="AG28" s="22">
        <f t="shared" si="19"/>
        <v>274771.25361411483</v>
      </c>
      <c r="AH28" s="33">
        <f t="shared" si="19"/>
        <v>288509.81629482057</v>
      </c>
    </row>
    <row r="29" spans="1:34" x14ac:dyDescent="0.25">
      <c r="A29" s="65"/>
      <c r="B29" s="2" t="s">
        <v>25</v>
      </c>
      <c r="C29" s="33"/>
      <c r="D29" s="33"/>
      <c r="E29" s="33">
        <f t="shared" si="7"/>
        <v>727.65</v>
      </c>
      <c r="F29" s="33">
        <f t="shared" si="8"/>
        <v>1455.3</v>
      </c>
      <c r="G29" s="33">
        <f t="shared" si="9"/>
        <v>1455.3</v>
      </c>
      <c r="H29" s="33">
        <f t="shared" ref="H29:I29" si="20">G29+$E29</f>
        <v>2182.9499999999998</v>
      </c>
      <c r="I29" s="33">
        <f t="shared" si="20"/>
        <v>2910.6</v>
      </c>
      <c r="J29" s="33">
        <f t="shared" si="11"/>
        <v>2910.6</v>
      </c>
      <c r="K29" s="33">
        <f t="shared" ref="K29:L29" si="21">J29+$E29</f>
        <v>3638.25</v>
      </c>
      <c r="L29" s="33">
        <f t="shared" si="21"/>
        <v>4365.8999999999996</v>
      </c>
      <c r="M29" s="33">
        <f t="shared" si="13"/>
        <v>4365.8999999999996</v>
      </c>
      <c r="N29" s="33">
        <f t="shared" ref="N29:O29" si="22">M29+$E29</f>
        <v>5093.5499999999993</v>
      </c>
      <c r="O29" s="33">
        <f t="shared" si="22"/>
        <v>5821.1999999999989</v>
      </c>
      <c r="P29" s="33">
        <f t="shared" ref="P29:Q29" si="23">O29</f>
        <v>5821.1999999999989</v>
      </c>
      <c r="Q29" s="33">
        <f t="shared" si="23"/>
        <v>5821.1999999999989</v>
      </c>
      <c r="R29" s="33">
        <f t="shared" si="16"/>
        <v>6548.8499999999985</v>
      </c>
      <c r="S29" s="33">
        <f t="shared" si="17"/>
        <v>6548.8499999999985</v>
      </c>
      <c r="T29" s="33">
        <f t="shared" si="18"/>
        <v>7276.4999999999982</v>
      </c>
      <c r="V29" s="43">
        <f t="shared" si="3"/>
        <v>5821.2</v>
      </c>
      <c r="W29" s="28">
        <f t="shared" si="4"/>
        <v>23284.799999999999</v>
      </c>
      <c r="X29" s="28">
        <f t="shared" si="5"/>
        <v>37837.799999999996</v>
      </c>
      <c r="Y29" s="40">
        <f>4158*C5*(1+$B$3)</f>
        <v>43659</v>
      </c>
      <c r="Z29" s="22">
        <f t="shared" ref="Z29:AH29" si="24">Y29*(1+$B$3)</f>
        <v>45841.950000000004</v>
      </c>
      <c r="AA29" s="22">
        <f t="shared" si="24"/>
        <v>48134.047500000008</v>
      </c>
      <c r="AB29" s="22">
        <f t="shared" si="24"/>
        <v>50540.749875000009</v>
      </c>
      <c r="AC29" s="22">
        <f t="shared" si="24"/>
        <v>53067.787368750011</v>
      </c>
      <c r="AD29" s="22">
        <f t="shared" si="24"/>
        <v>55721.17673718751</v>
      </c>
      <c r="AE29" s="22">
        <f t="shared" si="24"/>
        <v>58507.235574046885</v>
      </c>
      <c r="AF29" s="22">
        <f t="shared" si="24"/>
        <v>61432.597352749232</v>
      </c>
      <c r="AG29" s="22">
        <f t="shared" si="24"/>
        <v>64504.227220386696</v>
      </c>
      <c r="AH29" s="33">
        <f t="shared" si="24"/>
        <v>67729.438581406037</v>
      </c>
    </row>
    <row r="30" spans="1:34" s="22" customFormat="1" x14ac:dyDescent="0.25">
      <c r="A30" s="65"/>
      <c r="B30" s="22" t="s">
        <v>26</v>
      </c>
      <c r="C30" s="33"/>
      <c r="D30" s="33"/>
      <c r="E30" s="33">
        <f t="shared" si="7"/>
        <v>345.09999999999997</v>
      </c>
      <c r="F30" s="33">
        <f t="shared" si="8"/>
        <v>690.19999999999993</v>
      </c>
      <c r="G30" s="33">
        <f t="shared" si="9"/>
        <v>690.19999999999993</v>
      </c>
      <c r="H30" s="33">
        <f t="shared" ref="H30:I30" si="25">G30+$E30</f>
        <v>1035.3</v>
      </c>
      <c r="I30" s="33">
        <f t="shared" si="25"/>
        <v>1380.3999999999999</v>
      </c>
      <c r="J30" s="33">
        <f t="shared" si="11"/>
        <v>1380.3999999999999</v>
      </c>
      <c r="K30" s="33">
        <f t="shared" ref="K30:L30" si="26">J30+$E30</f>
        <v>1725.4999999999998</v>
      </c>
      <c r="L30" s="33">
        <f t="shared" si="26"/>
        <v>2070.6</v>
      </c>
      <c r="M30" s="33">
        <f t="shared" si="13"/>
        <v>2070.6</v>
      </c>
      <c r="N30" s="33">
        <f t="shared" ref="N30:O30" si="27">M30+$E30</f>
        <v>2415.6999999999998</v>
      </c>
      <c r="O30" s="33">
        <f t="shared" si="27"/>
        <v>2760.7999999999997</v>
      </c>
      <c r="P30" s="33">
        <f t="shared" ref="P30:Q30" si="28">O30</f>
        <v>2760.7999999999997</v>
      </c>
      <c r="Q30" s="33">
        <f t="shared" si="28"/>
        <v>2760.7999999999997</v>
      </c>
      <c r="R30" s="33">
        <f t="shared" si="16"/>
        <v>3105.8999999999996</v>
      </c>
      <c r="S30" s="33">
        <f t="shared" si="17"/>
        <v>3105.8999999999996</v>
      </c>
      <c r="T30" s="33">
        <f t="shared" si="18"/>
        <v>3450.9999999999995</v>
      </c>
      <c r="U30" s="33"/>
      <c r="V30" s="43">
        <f t="shared" si="3"/>
        <v>2760.8</v>
      </c>
      <c r="W30" s="28">
        <f t="shared" si="4"/>
        <v>11043.2</v>
      </c>
      <c r="X30" s="28">
        <f t="shared" si="5"/>
        <v>17945.199999999997</v>
      </c>
      <c r="Y30" s="40">
        <f>1972*C5*(1+$B$3)</f>
        <v>20706</v>
      </c>
      <c r="Z30" s="22">
        <f t="shared" ref="Z30:AH30" si="29">Y30*(1+$B$3)</f>
        <v>21741.3</v>
      </c>
      <c r="AA30" s="22">
        <f t="shared" si="29"/>
        <v>22828.365000000002</v>
      </c>
      <c r="AB30" s="22">
        <f t="shared" si="29"/>
        <v>23969.783250000004</v>
      </c>
      <c r="AC30" s="22">
        <f t="shared" si="29"/>
        <v>25168.272412500006</v>
      </c>
      <c r="AD30" s="22">
        <f t="shared" si="29"/>
        <v>26426.686033125006</v>
      </c>
      <c r="AE30" s="22">
        <f t="shared" si="29"/>
        <v>27748.020334781257</v>
      </c>
      <c r="AF30" s="22">
        <f t="shared" si="29"/>
        <v>29135.421351520319</v>
      </c>
      <c r="AG30" s="22">
        <f t="shared" si="29"/>
        <v>30592.192419096336</v>
      </c>
      <c r="AH30" s="33">
        <f t="shared" si="29"/>
        <v>32121.802040051156</v>
      </c>
    </row>
    <row r="31" spans="1:34" s="22" customFormat="1" x14ac:dyDescent="0.25">
      <c r="A31" s="65"/>
      <c r="B31" s="22" t="s">
        <v>30</v>
      </c>
      <c r="C31" s="33"/>
      <c r="D31" s="33"/>
      <c r="E31" s="33">
        <f t="shared" si="7"/>
        <v>6186.3480000000009</v>
      </c>
      <c r="F31" s="33">
        <f t="shared" si="8"/>
        <v>12372.696000000002</v>
      </c>
      <c r="G31" s="33">
        <f t="shared" si="9"/>
        <v>12372.696000000002</v>
      </c>
      <c r="H31" s="33">
        <f t="shared" ref="H31:I31" si="30">G31+$E31</f>
        <v>18559.044000000002</v>
      </c>
      <c r="I31" s="33">
        <f t="shared" si="30"/>
        <v>24745.392000000003</v>
      </c>
      <c r="J31" s="33">
        <f t="shared" si="11"/>
        <v>24745.392000000003</v>
      </c>
      <c r="K31" s="33">
        <f t="shared" ref="K31:L31" si="31">J31+$E31</f>
        <v>30931.740000000005</v>
      </c>
      <c r="L31" s="33">
        <f t="shared" si="31"/>
        <v>37118.088000000003</v>
      </c>
      <c r="M31" s="33">
        <f t="shared" si="13"/>
        <v>37118.088000000003</v>
      </c>
      <c r="N31" s="33">
        <f t="shared" ref="N31:O31" si="32">M31+$E31</f>
        <v>43304.436000000002</v>
      </c>
      <c r="O31" s="33">
        <f t="shared" si="32"/>
        <v>49490.784</v>
      </c>
      <c r="P31" s="33">
        <f t="shared" ref="P31:Q31" si="33">O31</f>
        <v>49490.784</v>
      </c>
      <c r="Q31" s="33">
        <f t="shared" si="33"/>
        <v>49490.784</v>
      </c>
      <c r="R31" s="33">
        <f t="shared" si="16"/>
        <v>55677.131999999998</v>
      </c>
      <c r="S31" s="33">
        <f t="shared" si="17"/>
        <v>55677.131999999998</v>
      </c>
      <c r="T31" s="33">
        <f t="shared" si="18"/>
        <v>61863.479999999996</v>
      </c>
      <c r="U31" s="33"/>
      <c r="V31" s="43">
        <f t="shared" si="3"/>
        <v>49490.784000000007</v>
      </c>
      <c r="W31" s="28">
        <f t="shared" si="4"/>
        <v>197963.136</v>
      </c>
      <c r="X31" s="28">
        <f t="shared" si="5"/>
        <v>321690.09599999996</v>
      </c>
      <c r="Y31" s="40">
        <f>Y25*$B$18*(1+$B$3)</f>
        <v>371180.88000000006</v>
      </c>
      <c r="Z31" s="24">
        <f t="shared" ref="Z31:AH31" si="34">Z25*$B$18</f>
        <v>371180.88</v>
      </c>
      <c r="AA31" s="24">
        <f t="shared" si="34"/>
        <v>389739.924</v>
      </c>
      <c r="AB31" s="24">
        <f t="shared" si="34"/>
        <v>409226.92020000005</v>
      </c>
      <c r="AC31" s="24">
        <f t="shared" si="34"/>
        <v>429688.26621000009</v>
      </c>
      <c r="AD31" s="24">
        <f t="shared" si="34"/>
        <v>451172.67952050007</v>
      </c>
      <c r="AE31" s="24">
        <f t="shared" si="34"/>
        <v>473731.31349652511</v>
      </c>
      <c r="AF31" s="24">
        <f t="shared" si="34"/>
        <v>497417.87917135132</v>
      </c>
      <c r="AG31" s="24">
        <f t="shared" si="34"/>
        <v>522288.7731299189</v>
      </c>
      <c r="AH31" s="33">
        <f t="shared" si="34"/>
        <v>548403.21178641485</v>
      </c>
    </row>
    <row r="32" spans="1:34" s="22" customFormat="1" x14ac:dyDescent="0.25">
      <c r="A32" s="65"/>
      <c r="B32" s="22" t="s">
        <v>27</v>
      </c>
      <c r="C32" s="33"/>
      <c r="D32" s="33"/>
      <c r="E32" s="33">
        <f t="shared" si="7"/>
        <v>801.67500000000007</v>
      </c>
      <c r="F32" s="33">
        <f t="shared" si="8"/>
        <v>1603.3500000000001</v>
      </c>
      <c r="G32" s="33">
        <f t="shared" si="9"/>
        <v>1603.3500000000001</v>
      </c>
      <c r="H32" s="33">
        <f t="shared" ref="H32:I32" si="35">G32+$E32</f>
        <v>2405.0250000000001</v>
      </c>
      <c r="I32" s="33">
        <f t="shared" si="35"/>
        <v>3206.7000000000003</v>
      </c>
      <c r="J32" s="33">
        <f t="shared" si="11"/>
        <v>3206.7000000000003</v>
      </c>
      <c r="K32" s="33">
        <f t="shared" ref="K32:L32" si="36">J32+$E32</f>
        <v>4008.3750000000005</v>
      </c>
      <c r="L32" s="33">
        <f t="shared" si="36"/>
        <v>4810.05</v>
      </c>
      <c r="M32" s="33">
        <f t="shared" si="13"/>
        <v>4810.05</v>
      </c>
      <c r="N32" s="33">
        <f t="shared" ref="N32:O32" si="37">M32+$E32</f>
        <v>5611.7250000000004</v>
      </c>
      <c r="O32" s="33">
        <f t="shared" si="37"/>
        <v>6413.4000000000005</v>
      </c>
      <c r="P32" s="33">
        <f t="shared" ref="P32:Q32" si="38">O32</f>
        <v>6413.4000000000005</v>
      </c>
      <c r="Q32" s="33">
        <f t="shared" si="38"/>
        <v>6413.4000000000005</v>
      </c>
      <c r="R32" s="33">
        <f t="shared" si="16"/>
        <v>7215.0750000000007</v>
      </c>
      <c r="S32" s="33">
        <f t="shared" si="17"/>
        <v>7215.0750000000007</v>
      </c>
      <c r="T32" s="33">
        <f t="shared" si="18"/>
        <v>8016.7500000000009</v>
      </c>
      <c r="U32" s="33"/>
      <c r="V32" s="43">
        <f t="shared" si="3"/>
        <v>6413.4</v>
      </c>
      <c r="W32" s="28">
        <f t="shared" si="4"/>
        <v>25653.599999999999</v>
      </c>
      <c r="X32" s="28">
        <f t="shared" si="5"/>
        <v>41687.100000000006</v>
      </c>
      <c r="Y32" s="40">
        <f>(40219*C5*(1+$B$3))-Y27-Y28-Y29-Y30</f>
        <v>48100.5</v>
      </c>
      <c r="Z32" s="22">
        <f t="shared" ref="Z32:AH32" si="39">Y32*(1+$B$3)</f>
        <v>50505.525000000001</v>
      </c>
      <c r="AA32" s="22">
        <f t="shared" si="39"/>
        <v>53030.801250000004</v>
      </c>
      <c r="AB32" s="22">
        <f t="shared" si="39"/>
        <v>55682.341312500008</v>
      </c>
      <c r="AC32" s="22">
        <f t="shared" si="39"/>
        <v>58466.458378125011</v>
      </c>
      <c r="AD32" s="22">
        <f t="shared" si="39"/>
        <v>61389.781297031266</v>
      </c>
      <c r="AE32" s="22">
        <f t="shared" si="39"/>
        <v>64459.270361882831</v>
      </c>
      <c r="AF32" s="22">
        <f t="shared" si="39"/>
        <v>67682.233879976979</v>
      </c>
      <c r="AG32" s="22">
        <f t="shared" si="39"/>
        <v>71066.345573975836</v>
      </c>
      <c r="AH32" s="33">
        <f t="shared" si="39"/>
        <v>74619.662852674635</v>
      </c>
    </row>
    <row r="33" spans="1:34" x14ac:dyDescent="0.25">
      <c r="A33" s="66"/>
      <c r="B33" s="2" t="s">
        <v>2</v>
      </c>
      <c r="C33" s="33"/>
      <c r="D33" s="30"/>
      <c r="E33" s="33">
        <f t="shared" ref="E33" si="40">SUM(E27:E32)</f>
        <v>13224.672999999999</v>
      </c>
      <c r="F33" s="33">
        <f t="shared" ref="F33" si="41">SUM(F27:F32)</f>
        <v>26449.345999999998</v>
      </c>
      <c r="G33" s="33">
        <f t="shared" ref="G33" si="42">SUM(G27:G32)</f>
        <v>26449.345999999998</v>
      </c>
      <c r="H33" s="33">
        <f t="shared" ref="H33" si="43">SUM(H27:H32)</f>
        <v>39674.019</v>
      </c>
      <c r="I33" s="33">
        <f t="shared" ref="I33" si="44">SUM(I27:I32)</f>
        <v>52898.691999999995</v>
      </c>
      <c r="J33" s="33">
        <f t="shared" ref="J33" si="45">SUM(J27:J32)</f>
        <v>52898.691999999995</v>
      </c>
      <c r="K33" s="33">
        <f t="shared" ref="K33" si="46">SUM(K27:K32)</f>
        <v>66123.365000000005</v>
      </c>
      <c r="L33" s="33">
        <f t="shared" ref="L33" si="47">SUM(L27:L32)</f>
        <v>79348.038</v>
      </c>
      <c r="M33" s="33">
        <f t="shared" ref="M33" si="48">SUM(M27:M32)</f>
        <v>79348.038</v>
      </c>
      <c r="N33" s="33">
        <f t="shared" ref="N33" si="49">SUM(N27:N32)</f>
        <v>92572.710999999996</v>
      </c>
      <c r="O33" s="33">
        <f t="shared" ref="O33" si="50">SUM(O27:O32)</f>
        <v>105797.38399999999</v>
      </c>
      <c r="P33" s="33">
        <f t="shared" ref="P33" si="51">SUM(P27:P32)</f>
        <v>105797.38399999999</v>
      </c>
      <c r="Q33" s="33">
        <f t="shared" ref="Q33" si="52">SUM(Q27:Q32)</f>
        <v>105797.38399999999</v>
      </c>
      <c r="R33" s="33">
        <f t="shared" ref="R33" si="53">SUM(R27:R32)</f>
        <v>119022.05699999999</v>
      </c>
      <c r="S33" s="33">
        <f t="shared" ref="S33" si="54">SUM(S27:S32)</f>
        <v>119022.05699999999</v>
      </c>
      <c r="T33" s="33">
        <f t="shared" ref="T33" si="55">SUM(T27:T32)</f>
        <v>132246.72999999998</v>
      </c>
      <c r="V33" s="33">
        <f>SUM(V27:V32)</f>
        <v>105797.38399999999</v>
      </c>
      <c r="W33" s="33">
        <f>SUM(W27:W32)</f>
        <v>423189.53599999996</v>
      </c>
      <c r="X33" s="33">
        <f>SUM(X27:X32)</f>
        <v>687682.99599999993</v>
      </c>
      <c r="Y33" s="40">
        <f>SUM(Y27:Y32)</f>
        <v>793480.38000000012</v>
      </c>
      <c r="Z33" s="22">
        <f>SUM(Z27:Z32)</f>
        <v>814595.3550000001</v>
      </c>
      <c r="AA33" s="22">
        <f t="shared" ref="AA33:AG33" si="56">SUM(AA27:AA32)</f>
        <v>855325.1227500001</v>
      </c>
      <c r="AB33" s="22">
        <f t="shared" si="56"/>
        <v>898091.37888750015</v>
      </c>
      <c r="AC33" s="22">
        <f t="shared" si="56"/>
        <v>942995.94783187518</v>
      </c>
      <c r="AD33" s="22">
        <f t="shared" si="56"/>
        <v>990145.7452234691</v>
      </c>
      <c r="AE33" s="22">
        <f t="shared" si="56"/>
        <v>1039653.0324846426</v>
      </c>
      <c r="AF33" s="22">
        <f t="shared" si="56"/>
        <v>1091635.6841088745</v>
      </c>
      <c r="AG33" s="22">
        <f t="shared" si="56"/>
        <v>1146217.4683143185</v>
      </c>
      <c r="AH33" s="33">
        <f t="shared" ref="AH33" si="57">SUM(AH27:AH32)</f>
        <v>1203528.3417300344</v>
      </c>
    </row>
    <row r="34" spans="1:34" x14ac:dyDescent="0.25">
      <c r="A34" s="8"/>
      <c r="AG34" s="15"/>
      <c r="AH34" s="33"/>
    </row>
    <row r="35" spans="1:34" x14ac:dyDescent="0.25">
      <c r="A35" s="37" t="s">
        <v>49</v>
      </c>
      <c r="B35" s="33" t="s">
        <v>10</v>
      </c>
      <c r="C35" s="1"/>
      <c r="D35" s="30"/>
      <c r="E35" s="33">
        <f t="shared" ref="E35:T35" si="58">E25-E33</f>
        <v>20375.327000000001</v>
      </c>
      <c r="F35" s="33">
        <f t="shared" si="58"/>
        <v>40750.654000000002</v>
      </c>
      <c r="G35" s="33">
        <f t="shared" si="58"/>
        <v>40750.654000000002</v>
      </c>
      <c r="H35" s="33">
        <f t="shared" si="58"/>
        <v>61125.981</v>
      </c>
      <c r="I35" s="33">
        <f t="shared" si="58"/>
        <v>81501.308000000005</v>
      </c>
      <c r="J35" s="33">
        <f t="shared" si="58"/>
        <v>81501.308000000005</v>
      </c>
      <c r="K35" s="33">
        <f t="shared" si="58"/>
        <v>101876.63499999999</v>
      </c>
      <c r="L35" s="33">
        <f t="shared" si="58"/>
        <v>122251.962</v>
      </c>
      <c r="M35" s="33">
        <f t="shared" si="58"/>
        <v>122251.962</v>
      </c>
      <c r="N35" s="33">
        <f t="shared" si="58"/>
        <v>142627.28899999999</v>
      </c>
      <c r="O35" s="33">
        <f t="shared" si="58"/>
        <v>163002.61600000001</v>
      </c>
      <c r="P35" s="33">
        <f t="shared" si="58"/>
        <v>163002.61600000001</v>
      </c>
      <c r="Q35" s="33">
        <f t="shared" si="58"/>
        <v>163002.61600000001</v>
      </c>
      <c r="R35" s="33">
        <f t="shared" si="58"/>
        <v>183377.94300000003</v>
      </c>
      <c r="S35" s="33">
        <f t="shared" si="58"/>
        <v>183377.94300000003</v>
      </c>
      <c r="T35" s="33">
        <f t="shared" si="58"/>
        <v>203753.27000000002</v>
      </c>
      <c r="V35" s="33">
        <f t="shared" ref="V35:AG35" si="59">V25-V33</f>
        <v>163002.61600000001</v>
      </c>
      <c r="W35" s="33">
        <f t="shared" si="59"/>
        <v>652010.46400000004</v>
      </c>
      <c r="X35" s="33">
        <f t="shared" si="59"/>
        <v>1059517.0040000002</v>
      </c>
      <c r="Y35" s="33">
        <f t="shared" si="59"/>
        <v>1323319.6199999999</v>
      </c>
      <c r="Z35" s="33">
        <f t="shared" si="59"/>
        <v>1408044.645</v>
      </c>
      <c r="AA35" s="33">
        <f t="shared" si="59"/>
        <v>1478446.8772499999</v>
      </c>
      <c r="AB35" s="33">
        <f t="shared" si="59"/>
        <v>1552369.2211124999</v>
      </c>
      <c r="AC35" s="33">
        <f t="shared" si="59"/>
        <v>1629987.6821681252</v>
      </c>
      <c r="AD35" s="33">
        <f t="shared" si="59"/>
        <v>1711487.0662765312</v>
      </c>
      <c r="AE35" s="33">
        <f t="shared" si="59"/>
        <v>1797061.4195903577</v>
      </c>
      <c r="AF35" s="33">
        <f t="shared" si="59"/>
        <v>1886914.4905698758</v>
      </c>
      <c r="AG35" s="33">
        <f t="shared" si="59"/>
        <v>1981260.2150983694</v>
      </c>
      <c r="AH35" s="33">
        <f t="shared" ref="AH35" si="60">AH25-AH33</f>
        <v>2080323.2258532881</v>
      </c>
    </row>
    <row r="36" spans="1:34" x14ac:dyDescent="0.25">
      <c r="A36" s="8"/>
      <c r="X36" s="30"/>
      <c r="Y36" s="30"/>
      <c r="AG36" s="15"/>
      <c r="AH36" s="33"/>
    </row>
    <row r="37" spans="1:34" s="17" customFormat="1" x14ac:dyDescent="0.25">
      <c r="A37" s="16" t="s">
        <v>0</v>
      </c>
      <c r="D37" s="30"/>
      <c r="E37" s="33">
        <f t="shared" ref="E37:N37" si="61">E35*$B$6</f>
        <v>5093.8317500000003</v>
      </c>
      <c r="F37" s="33">
        <f t="shared" si="61"/>
        <v>10187.663500000001</v>
      </c>
      <c r="G37" s="33">
        <f t="shared" si="61"/>
        <v>10187.663500000001</v>
      </c>
      <c r="H37" s="33">
        <f t="shared" si="61"/>
        <v>15281.49525</v>
      </c>
      <c r="I37" s="33">
        <f t="shared" si="61"/>
        <v>20375.327000000001</v>
      </c>
      <c r="J37" s="33">
        <f t="shared" si="61"/>
        <v>20375.327000000001</v>
      </c>
      <c r="K37" s="33">
        <f t="shared" si="61"/>
        <v>25469.158749999999</v>
      </c>
      <c r="L37" s="33">
        <f t="shared" si="61"/>
        <v>30562.9905</v>
      </c>
      <c r="M37" s="33">
        <f t="shared" si="61"/>
        <v>30562.9905</v>
      </c>
      <c r="N37" s="33">
        <f t="shared" si="61"/>
        <v>35656.822249999997</v>
      </c>
      <c r="O37" s="33">
        <f t="shared" ref="O37:T37" si="62">O35*$B$6</f>
        <v>40750.654000000002</v>
      </c>
      <c r="P37" s="33">
        <f t="shared" si="62"/>
        <v>40750.654000000002</v>
      </c>
      <c r="Q37" s="33">
        <f t="shared" si="62"/>
        <v>40750.654000000002</v>
      </c>
      <c r="R37" s="33">
        <f t="shared" si="62"/>
        <v>45844.485750000007</v>
      </c>
      <c r="S37" s="33">
        <f t="shared" si="62"/>
        <v>45844.485750000007</v>
      </c>
      <c r="T37" s="33">
        <f t="shared" si="62"/>
        <v>50938.317500000005</v>
      </c>
      <c r="U37" s="33"/>
      <c r="V37" s="33">
        <f t="shared" ref="V37:W37" si="63">V35*$B$6</f>
        <v>40750.654000000002</v>
      </c>
      <c r="W37" s="33">
        <f t="shared" si="63"/>
        <v>163002.61600000001</v>
      </c>
      <c r="X37" s="30">
        <f t="shared" ref="X37:AH37" si="64">X35*$B$6</f>
        <v>264879.25100000005</v>
      </c>
      <c r="Y37" s="30">
        <f t="shared" si="64"/>
        <v>330829.90499999997</v>
      </c>
      <c r="Z37" s="22">
        <f t="shared" si="64"/>
        <v>352011.16125</v>
      </c>
      <c r="AA37" s="22">
        <f t="shared" si="64"/>
        <v>369611.71931249998</v>
      </c>
      <c r="AB37" s="22">
        <f t="shared" si="64"/>
        <v>388092.30527812499</v>
      </c>
      <c r="AC37" s="22">
        <f t="shared" si="64"/>
        <v>407496.92054203129</v>
      </c>
      <c r="AD37" s="22">
        <f t="shared" si="64"/>
        <v>427871.7665691328</v>
      </c>
      <c r="AE37" s="22">
        <f t="shared" si="64"/>
        <v>449265.35489758942</v>
      </c>
      <c r="AF37" s="22">
        <f t="shared" si="64"/>
        <v>471728.62264246895</v>
      </c>
      <c r="AG37" s="22">
        <f t="shared" si="64"/>
        <v>495315.05377459235</v>
      </c>
      <c r="AH37" s="33">
        <f t="shared" si="64"/>
        <v>520080.80646332202</v>
      </c>
    </row>
    <row r="38" spans="1:34" x14ac:dyDescent="0.25">
      <c r="A38" s="9" t="s">
        <v>5</v>
      </c>
      <c r="B38" s="3"/>
      <c r="X38" s="3"/>
      <c r="Y38" s="3"/>
      <c r="Z38" s="3"/>
      <c r="AD38" s="3"/>
      <c r="AE38" s="3"/>
      <c r="AF38" s="3"/>
      <c r="AG38" s="17"/>
      <c r="AH38" s="33"/>
    </row>
    <row r="39" spans="1:34" s="17" customFormat="1" x14ac:dyDescent="0.25">
      <c r="A39" s="21" t="s">
        <v>7</v>
      </c>
      <c r="F39" s="30"/>
      <c r="G39" s="30"/>
      <c r="H39" s="30"/>
      <c r="I39" s="30"/>
      <c r="J39" s="30"/>
      <c r="K39" s="30"/>
      <c r="N39" s="33"/>
      <c r="O39" s="33"/>
      <c r="P39" s="33"/>
      <c r="Q39" s="33"/>
      <c r="R39" s="33"/>
      <c r="S39" s="33"/>
      <c r="T39" s="33"/>
      <c r="U39" s="33"/>
      <c r="V39" s="33"/>
      <c r="W39" s="30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33"/>
    </row>
    <row r="40" spans="1:34" s="33" customFormat="1" x14ac:dyDescent="0.25">
      <c r="A40" s="32" t="s">
        <v>48</v>
      </c>
      <c r="E40" s="33">
        <f>E33/6</f>
        <v>2204.1121666666663</v>
      </c>
      <c r="F40" s="33">
        <f t="shared" ref="F40:T40" si="65">F33/6</f>
        <v>4408.2243333333327</v>
      </c>
      <c r="G40" s="33">
        <f t="shared" si="65"/>
        <v>4408.2243333333327</v>
      </c>
      <c r="H40" s="33">
        <f t="shared" si="65"/>
        <v>6612.3365000000003</v>
      </c>
      <c r="I40" s="33">
        <f t="shared" si="65"/>
        <v>8816.4486666666653</v>
      </c>
      <c r="J40" s="33">
        <f t="shared" si="65"/>
        <v>8816.4486666666653</v>
      </c>
      <c r="K40" s="33">
        <f t="shared" si="65"/>
        <v>11020.560833333335</v>
      </c>
      <c r="L40" s="33">
        <f t="shared" si="65"/>
        <v>13224.673000000001</v>
      </c>
      <c r="M40" s="33">
        <f t="shared" si="65"/>
        <v>13224.673000000001</v>
      </c>
      <c r="N40" s="33">
        <f t="shared" si="65"/>
        <v>15428.785166666667</v>
      </c>
      <c r="O40" s="33">
        <f t="shared" si="65"/>
        <v>17632.897333333331</v>
      </c>
      <c r="P40" s="33">
        <f t="shared" si="65"/>
        <v>17632.897333333331</v>
      </c>
      <c r="Q40" s="33">
        <f t="shared" si="65"/>
        <v>17632.897333333331</v>
      </c>
      <c r="R40" s="33">
        <f t="shared" si="65"/>
        <v>19837.009499999996</v>
      </c>
      <c r="S40" s="33">
        <f t="shared" si="65"/>
        <v>19837.009499999996</v>
      </c>
      <c r="T40" s="33">
        <f t="shared" si="65"/>
        <v>22041.121666666662</v>
      </c>
      <c r="V40" s="33">
        <f>V33/6</f>
        <v>17632.897333333331</v>
      </c>
      <c r="W40" s="33">
        <f t="shared" ref="W40:AH40" si="66">W33/6</f>
        <v>70531.589333333322</v>
      </c>
      <c r="X40" s="33">
        <f t="shared" si="66"/>
        <v>114613.83266666665</v>
      </c>
      <c r="Y40" s="33">
        <f t="shared" si="66"/>
        <v>132246.73000000001</v>
      </c>
      <c r="Z40" s="33">
        <f t="shared" si="66"/>
        <v>135765.89250000002</v>
      </c>
      <c r="AA40" s="33">
        <f t="shared" si="66"/>
        <v>142554.18712500003</v>
      </c>
      <c r="AB40" s="33">
        <f t="shared" si="66"/>
        <v>149681.89648125003</v>
      </c>
      <c r="AC40" s="33">
        <f t="shared" si="66"/>
        <v>157165.99130531252</v>
      </c>
      <c r="AD40" s="33">
        <f t="shared" si="66"/>
        <v>165024.29087057817</v>
      </c>
      <c r="AE40" s="33">
        <f t="shared" si="66"/>
        <v>173275.50541410709</v>
      </c>
      <c r="AF40" s="33">
        <f t="shared" si="66"/>
        <v>181939.28068481243</v>
      </c>
      <c r="AG40" s="33">
        <f t="shared" si="66"/>
        <v>191036.24471905307</v>
      </c>
      <c r="AH40" s="33">
        <f t="shared" si="66"/>
        <v>200588.05695500574</v>
      </c>
    </row>
    <row r="41" spans="1:34" x14ac:dyDescent="0.25">
      <c r="A41" s="20" t="s">
        <v>8</v>
      </c>
      <c r="B41" s="10"/>
      <c r="E41" s="2">
        <f>E40</f>
        <v>2204.1121666666663</v>
      </c>
      <c r="F41" s="33">
        <f t="shared" ref="F41:H41" si="67">F40</f>
        <v>4408.2243333333327</v>
      </c>
      <c r="G41" s="33">
        <f t="shared" si="67"/>
        <v>4408.2243333333327</v>
      </c>
      <c r="H41" s="33">
        <f t="shared" si="67"/>
        <v>6612.3365000000003</v>
      </c>
      <c r="I41" s="30">
        <f>I40-C40</f>
        <v>8816.4486666666653</v>
      </c>
      <c r="J41" s="33">
        <f>J40-D40</f>
        <v>8816.4486666666653</v>
      </c>
      <c r="K41" s="33">
        <f>K40-E40</f>
        <v>8816.4486666666689</v>
      </c>
      <c r="L41" s="33">
        <f>L40-F40</f>
        <v>8816.4486666666671</v>
      </c>
      <c r="M41" s="33">
        <f t="shared" ref="M41:T41" si="68">M40-G40</f>
        <v>8816.4486666666671</v>
      </c>
      <c r="N41" s="33">
        <f t="shared" si="68"/>
        <v>8816.4486666666671</v>
      </c>
      <c r="O41" s="33">
        <f t="shared" si="68"/>
        <v>8816.4486666666653</v>
      </c>
      <c r="P41" s="33">
        <f t="shared" si="68"/>
        <v>8816.4486666666653</v>
      </c>
      <c r="Q41" s="33">
        <f t="shared" si="68"/>
        <v>6612.3364999999958</v>
      </c>
      <c r="R41" s="33">
        <f t="shared" si="68"/>
        <v>6612.3364999999958</v>
      </c>
      <c r="S41" s="33">
        <f t="shared" si="68"/>
        <v>6612.3364999999958</v>
      </c>
      <c r="T41" s="33">
        <f t="shared" si="68"/>
        <v>6612.3364999999958</v>
      </c>
      <c r="V41" s="33">
        <f>V40</f>
        <v>17632.897333333331</v>
      </c>
      <c r="W41" s="30">
        <f>W40-V40</f>
        <v>52898.691999999995</v>
      </c>
      <c r="X41" s="33">
        <f t="shared" ref="X41:AH41" si="69">X40-W40</f>
        <v>44082.243333333332</v>
      </c>
      <c r="Y41" s="33">
        <f t="shared" si="69"/>
        <v>17632.897333333356</v>
      </c>
      <c r="Z41" s="33">
        <f t="shared" si="69"/>
        <v>3519.1625000000058</v>
      </c>
      <c r="AA41" s="33">
        <f t="shared" si="69"/>
        <v>6788.2946250000095</v>
      </c>
      <c r="AB41" s="33">
        <f t="shared" si="69"/>
        <v>7127.7093562500086</v>
      </c>
      <c r="AC41" s="33">
        <f t="shared" si="69"/>
        <v>7484.0948240624857</v>
      </c>
      <c r="AD41" s="33">
        <f t="shared" si="69"/>
        <v>7858.2995652656537</v>
      </c>
      <c r="AE41" s="33">
        <f t="shared" si="69"/>
        <v>8251.2145435289131</v>
      </c>
      <c r="AF41" s="33">
        <f t="shared" si="69"/>
        <v>8663.7752707053442</v>
      </c>
      <c r="AG41" s="33">
        <f t="shared" si="69"/>
        <v>9096.9640342406346</v>
      </c>
      <c r="AH41" s="33">
        <f t="shared" si="69"/>
        <v>9551.8122359526751</v>
      </c>
    </row>
    <row r="42" spans="1:34" x14ac:dyDescent="0.25">
      <c r="A42" s="20" t="s">
        <v>9</v>
      </c>
      <c r="B42" s="10"/>
      <c r="X42" s="17"/>
      <c r="Y42" s="17"/>
      <c r="Z42" s="17"/>
      <c r="AA42" s="19"/>
      <c r="AB42" s="19"/>
      <c r="AC42" s="19"/>
      <c r="AD42" s="19"/>
      <c r="AE42" s="19"/>
      <c r="AF42" s="19"/>
      <c r="AG42" s="19"/>
      <c r="AH42" s="33"/>
    </row>
    <row r="43" spans="1:34" x14ac:dyDescent="0.25">
      <c r="L43" s="12"/>
      <c r="AG43" s="15"/>
      <c r="AH43" s="33"/>
    </row>
    <row r="44" spans="1:34" x14ac:dyDescent="0.25">
      <c r="A44" s="11" t="s">
        <v>1</v>
      </c>
      <c r="C44" s="19"/>
      <c r="D44" s="30"/>
      <c r="E44" s="33">
        <f>E35-E37-E38-E39-E41</f>
        <v>13077.383083333334</v>
      </c>
      <c r="F44" s="33">
        <f t="shared" ref="F44:T44" si="70">F35-F37-F38-F39-F41</f>
        <v>26154.766166666668</v>
      </c>
      <c r="G44" s="33">
        <f t="shared" si="70"/>
        <v>26154.766166666668</v>
      </c>
      <c r="H44" s="33">
        <f t="shared" si="70"/>
        <v>39232.149250000002</v>
      </c>
      <c r="I44" s="33">
        <f t="shared" si="70"/>
        <v>52309.532333333336</v>
      </c>
      <c r="J44" s="33">
        <f t="shared" si="70"/>
        <v>52309.532333333336</v>
      </c>
      <c r="K44" s="33">
        <f t="shared" si="70"/>
        <v>67591.027583333329</v>
      </c>
      <c r="L44" s="33">
        <f t="shared" si="70"/>
        <v>82872.522833333336</v>
      </c>
      <c r="M44" s="33">
        <f t="shared" si="70"/>
        <v>82872.522833333336</v>
      </c>
      <c r="N44" s="33">
        <f t="shared" si="70"/>
        <v>98154.018083333329</v>
      </c>
      <c r="O44" s="33">
        <f t="shared" si="70"/>
        <v>113435.51333333334</v>
      </c>
      <c r="P44" s="33">
        <f t="shared" si="70"/>
        <v>113435.51333333334</v>
      </c>
      <c r="Q44" s="33">
        <f t="shared" si="70"/>
        <v>115639.62550000001</v>
      </c>
      <c r="R44" s="33">
        <f t="shared" si="70"/>
        <v>130921.12075000005</v>
      </c>
      <c r="S44" s="33">
        <f t="shared" si="70"/>
        <v>130921.12075000005</v>
      </c>
      <c r="T44" s="33">
        <f t="shared" si="70"/>
        <v>146202.61600000001</v>
      </c>
      <c r="V44" s="33">
        <f>SUM(E44:H44)</f>
        <v>104619.06466666667</v>
      </c>
      <c r="W44" s="28">
        <f>SUM(I44:N44)</f>
        <v>436109.15600000002</v>
      </c>
      <c r="X44" s="28">
        <f>SUM(O44:T44)-X41</f>
        <v>706473.26633333357</v>
      </c>
      <c r="Y44" s="33">
        <f t="shared" ref="Y44:AH44" si="71">Y35-Y37-Y38-Y39-Y41</f>
        <v>974856.81766666647</v>
      </c>
      <c r="Z44" s="33">
        <f t="shared" si="71"/>
        <v>1052514.32125</v>
      </c>
      <c r="AA44" s="33">
        <f t="shared" si="71"/>
        <v>1102046.8633124998</v>
      </c>
      <c r="AB44" s="33">
        <f t="shared" si="71"/>
        <v>1157149.206478125</v>
      </c>
      <c r="AC44" s="33">
        <f t="shared" si="71"/>
        <v>1215006.6668020315</v>
      </c>
      <c r="AD44" s="33">
        <f t="shared" si="71"/>
        <v>1275757.0001421326</v>
      </c>
      <c r="AE44" s="33">
        <f t="shared" si="71"/>
        <v>1339544.8501492394</v>
      </c>
      <c r="AF44" s="33">
        <f t="shared" si="71"/>
        <v>1406522.0926567016</v>
      </c>
      <c r="AG44" s="33">
        <f t="shared" si="71"/>
        <v>1476848.1972895362</v>
      </c>
      <c r="AH44" s="33">
        <f t="shared" si="71"/>
        <v>1550690.6071540134</v>
      </c>
    </row>
    <row r="45" spans="1:34" s="33" customFormat="1" x14ac:dyDescent="0.25">
      <c r="W45" s="28"/>
      <c r="X45" s="28"/>
    </row>
    <row r="46" spans="1:34" s="33" customFormat="1" x14ac:dyDescent="0.25">
      <c r="A46" s="33" t="s">
        <v>35</v>
      </c>
      <c r="B46" s="33">
        <f>C11*0.7</f>
        <v>1106553.7</v>
      </c>
      <c r="C46" s="33">
        <f>C44*$B$19</f>
        <v>0</v>
      </c>
      <c r="D46" s="33">
        <f t="shared" ref="D46:T46" si="72">D44*$B$19</f>
        <v>0</v>
      </c>
      <c r="E46" s="33">
        <f>E44*$B$19</f>
        <v>6538.691541666667</v>
      </c>
      <c r="F46" s="33">
        <f t="shared" si="72"/>
        <v>13077.383083333334</v>
      </c>
      <c r="G46" s="33">
        <f t="shared" si="72"/>
        <v>13077.383083333334</v>
      </c>
      <c r="H46" s="33">
        <f t="shared" si="72"/>
        <v>19616.074625000001</v>
      </c>
      <c r="I46" s="33">
        <f t="shared" si="72"/>
        <v>26154.766166666668</v>
      </c>
      <c r="J46" s="33">
        <f t="shared" si="72"/>
        <v>26154.766166666668</v>
      </c>
      <c r="K46" s="33">
        <f t="shared" si="72"/>
        <v>33795.513791666664</v>
      </c>
      <c r="L46" s="33">
        <f t="shared" si="72"/>
        <v>41436.261416666668</v>
      </c>
      <c r="M46" s="33">
        <f t="shared" si="72"/>
        <v>41436.261416666668</v>
      </c>
      <c r="N46" s="33">
        <f t="shared" si="72"/>
        <v>49077.009041666664</v>
      </c>
      <c r="O46" s="33">
        <f t="shared" si="72"/>
        <v>56717.756666666668</v>
      </c>
      <c r="P46" s="33">
        <f t="shared" si="72"/>
        <v>56717.756666666668</v>
      </c>
      <c r="Q46" s="33">
        <f t="shared" si="72"/>
        <v>57819.812750000005</v>
      </c>
      <c r="R46" s="33">
        <f t="shared" si="72"/>
        <v>65460.560375000023</v>
      </c>
      <c r="S46" s="33">
        <f t="shared" si="72"/>
        <v>65460.560375000023</v>
      </c>
      <c r="T46" s="33">
        <f t="shared" si="72"/>
        <v>73101.308000000005</v>
      </c>
    </row>
    <row r="47" spans="1:34" s="33" customFormat="1" x14ac:dyDescent="0.25">
      <c r="A47" s="33" t="s">
        <v>33</v>
      </c>
      <c r="B47" s="54">
        <f>SUM(C47:S47)/C11</f>
        <v>0.7</v>
      </c>
      <c r="C47" s="47">
        <f>C11/10</f>
        <v>158079.1</v>
      </c>
      <c r="D47" s="47">
        <f>C11/10</f>
        <v>158079.1</v>
      </c>
      <c r="E47" s="44">
        <f>((C11/10*2)-(F48+G48+E48))/3</f>
        <v>96052.733333333337</v>
      </c>
      <c r="F47" s="44">
        <f>((C11/10*2)-(F48+G48+E48))/3</f>
        <v>96052.733333333337</v>
      </c>
      <c r="G47" s="44">
        <f>((C11/10*2)-(F48+G48+E48))/3</f>
        <v>96052.733333333337</v>
      </c>
      <c r="H47" s="45">
        <f>((C11/10*2)-(H48+I48+J48))/3</f>
        <v>87052.733333333337</v>
      </c>
      <c r="I47" s="45">
        <f>((C11/10*2)-(H48+I48+J48))/3</f>
        <v>87052.733333333337</v>
      </c>
      <c r="J47" s="45">
        <f>((C11/10*2)-(H48+I48+J48))/3</f>
        <v>87052.733333333337</v>
      </c>
      <c r="K47" s="46">
        <f>((C11/10*2)-(K48+L48+M48))/3</f>
        <v>73052.733333333337</v>
      </c>
      <c r="L47" s="46">
        <f>((C11/10*2)-(K48+L48+M48))/3</f>
        <v>73052.733333333337</v>
      </c>
      <c r="M47" s="46">
        <f>((C11/10*2)-(K48+L48+M48))/3</f>
        <v>73052.733333333337</v>
      </c>
      <c r="N47" s="48">
        <f>B46-SUM(C47:M47)</f>
        <v>21920.899999999674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U47" s="36">
        <f>SUM(V47:X47)</f>
        <v>1106553.6999999997</v>
      </c>
      <c r="V47" s="33">
        <f>SUM(C47:H47)</f>
        <v>691369.1333333333</v>
      </c>
      <c r="W47" s="28">
        <f>SUM(I47:N47)</f>
        <v>415184.56666666636</v>
      </c>
      <c r="X47" s="28">
        <f>SUM(O47:T47)</f>
        <v>0</v>
      </c>
      <c r="Y47" s="33">
        <v>0</v>
      </c>
      <c r="Z47" s="33">
        <v>0</v>
      </c>
      <c r="AA47" s="33">
        <v>0</v>
      </c>
      <c r="AB47" s="33">
        <v>0</v>
      </c>
      <c r="AC47" s="33">
        <v>0</v>
      </c>
      <c r="AD47" s="33">
        <v>0</v>
      </c>
      <c r="AE47" s="33">
        <v>0</v>
      </c>
      <c r="AF47" s="33">
        <v>0</v>
      </c>
      <c r="AG47" s="33">
        <v>0</v>
      </c>
      <c r="AH47" s="33">
        <v>0</v>
      </c>
    </row>
    <row r="48" spans="1:34" s="30" customFormat="1" ht="21.75" x14ac:dyDescent="0.25">
      <c r="A48" s="30" t="s">
        <v>34</v>
      </c>
      <c r="B48" s="54">
        <f>SUM(C48:S48)/C11</f>
        <v>0.30048247997363348</v>
      </c>
      <c r="C48" s="55">
        <v>5000</v>
      </c>
      <c r="D48" s="55">
        <v>10000</v>
      </c>
      <c r="E48" s="56">
        <v>10000</v>
      </c>
      <c r="F48" s="44">
        <v>6000</v>
      </c>
      <c r="G48" s="44">
        <v>12000</v>
      </c>
      <c r="H48" s="45">
        <v>12000</v>
      </c>
      <c r="I48" s="45">
        <v>18000</v>
      </c>
      <c r="J48" s="45">
        <v>25000</v>
      </c>
      <c r="K48" s="46">
        <f>J48</f>
        <v>25000</v>
      </c>
      <c r="L48" s="46">
        <v>32000</v>
      </c>
      <c r="M48" s="46">
        <v>40000</v>
      </c>
      <c r="N48" s="48">
        <v>40000</v>
      </c>
      <c r="O48" s="48">
        <v>40000</v>
      </c>
      <c r="P48" s="48">
        <v>50000</v>
      </c>
      <c r="Q48" s="48">
        <v>50000</v>
      </c>
      <c r="R48" s="48">
        <v>50000</v>
      </c>
      <c r="S48" s="48">
        <v>50000</v>
      </c>
      <c r="T48" s="33"/>
      <c r="U48" s="36">
        <f t="shared" ref="U48" si="73">SUM(V48:X48)</f>
        <v>475000</v>
      </c>
      <c r="V48" s="36">
        <f>SUM(C48:H48)</f>
        <v>55000</v>
      </c>
      <c r="W48" s="28">
        <f>SUM(I48:N48)</f>
        <v>180000</v>
      </c>
      <c r="X48" s="28">
        <f>SUM(O48:T48)</f>
        <v>240000</v>
      </c>
      <c r="Y48" s="30">
        <v>0</v>
      </c>
      <c r="Z48" s="33">
        <v>0</v>
      </c>
      <c r="AA48" s="33">
        <v>0</v>
      </c>
      <c r="AB48" s="33">
        <v>0</v>
      </c>
      <c r="AC48" s="33">
        <v>0</v>
      </c>
      <c r="AD48" s="33">
        <v>0</v>
      </c>
      <c r="AE48" s="33">
        <v>0</v>
      </c>
      <c r="AF48" s="33">
        <v>0</v>
      </c>
      <c r="AG48" s="33">
        <v>0</v>
      </c>
      <c r="AH48" s="33">
        <v>0</v>
      </c>
    </row>
    <row r="49" spans="1:34" s="33" customFormat="1" x14ac:dyDescent="0.25">
      <c r="A49" s="33" t="s">
        <v>52</v>
      </c>
      <c r="B49" s="42">
        <f>B47+B48</f>
        <v>1.0004824799736334</v>
      </c>
      <c r="C49" s="36">
        <f t="shared" ref="C49:S49" si="74">C48+C47</f>
        <v>163079.1</v>
      </c>
      <c r="D49" s="36">
        <f t="shared" si="74"/>
        <v>168079.1</v>
      </c>
      <c r="E49" s="36">
        <f t="shared" si="74"/>
        <v>106052.73333333334</v>
      </c>
      <c r="F49" s="36">
        <f t="shared" si="74"/>
        <v>102052.73333333334</v>
      </c>
      <c r="G49" s="36">
        <f t="shared" si="74"/>
        <v>108052.73333333334</v>
      </c>
      <c r="H49" s="36">
        <f t="shared" si="74"/>
        <v>99052.733333333337</v>
      </c>
      <c r="I49" s="36">
        <f t="shared" si="74"/>
        <v>105052.73333333334</v>
      </c>
      <c r="J49" s="36">
        <f t="shared" si="74"/>
        <v>112052.73333333334</v>
      </c>
      <c r="K49" s="36">
        <f t="shared" si="74"/>
        <v>98052.733333333337</v>
      </c>
      <c r="L49" s="36">
        <f t="shared" si="74"/>
        <v>105052.73333333334</v>
      </c>
      <c r="M49" s="36">
        <f t="shared" si="74"/>
        <v>113052.73333333334</v>
      </c>
      <c r="N49" s="36">
        <f t="shared" si="74"/>
        <v>61920.899999999674</v>
      </c>
      <c r="O49" s="36">
        <f t="shared" si="74"/>
        <v>40000</v>
      </c>
      <c r="P49" s="36">
        <f t="shared" si="74"/>
        <v>50000</v>
      </c>
      <c r="Q49" s="36">
        <f t="shared" si="74"/>
        <v>50000</v>
      </c>
      <c r="R49" s="36">
        <f t="shared" si="74"/>
        <v>50000</v>
      </c>
      <c r="S49" s="33">
        <f t="shared" si="74"/>
        <v>50000</v>
      </c>
      <c r="U49" s="33">
        <f>SUM(V49:X49)</f>
        <v>1581553.7</v>
      </c>
      <c r="V49" s="36">
        <f>SUM(C49:H49)</f>
        <v>746369.13333333354</v>
      </c>
      <c r="W49" s="28">
        <f>SUM(I49:N49)</f>
        <v>595184.56666666642</v>
      </c>
      <c r="X49" s="28">
        <f>SUM(O49:T49)</f>
        <v>240000</v>
      </c>
      <c r="Y49" s="33">
        <v>0</v>
      </c>
      <c r="Z49" s="33">
        <v>0</v>
      </c>
      <c r="AA49" s="33">
        <v>0</v>
      </c>
      <c r="AB49" s="33">
        <v>0</v>
      </c>
      <c r="AC49" s="33">
        <v>0</v>
      </c>
      <c r="AD49" s="33">
        <v>0</v>
      </c>
      <c r="AE49" s="33">
        <v>0</v>
      </c>
      <c r="AF49" s="33">
        <v>0</v>
      </c>
      <c r="AG49" s="33">
        <v>0</v>
      </c>
      <c r="AH49" s="33">
        <v>0</v>
      </c>
    </row>
    <row r="50" spans="1:34" s="43" customFormat="1" ht="27" x14ac:dyDescent="0.25">
      <c r="A50" s="43" t="s">
        <v>57</v>
      </c>
      <c r="B50" s="49">
        <v>48800</v>
      </c>
      <c r="V50" s="5">
        <v>1397</v>
      </c>
      <c r="W50" s="5">
        <v>1398</v>
      </c>
      <c r="X50" s="5">
        <v>1399</v>
      </c>
      <c r="Y50" s="39">
        <v>1400</v>
      </c>
      <c r="Z50" s="5">
        <v>1401</v>
      </c>
      <c r="AA50" s="5">
        <v>1402</v>
      </c>
      <c r="AB50" s="5">
        <v>1403</v>
      </c>
      <c r="AC50" s="5">
        <v>1404</v>
      </c>
      <c r="AD50" s="5">
        <v>1405</v>
      </c>
      <c r="AE50" s="5">
        <v>1406</v>
      </c>
      <c r="AF50" s="5">
        <v>1407</v>
      </c>
      <c r="AG50" s="5">
        <v>1408</v>
      </c>
      <c r="AH50" s="5">
        <v>1409</v>
      </c>
    </row>
    <row r="51" spans="1:34" s="33" customFormat="1" x14ac:dyDescent="0.25">
      <c r="C51" s="57"/>
      <c r="U51" s="33" t="s">
        <v>1</v>
      </c>
      <c r="V51" s="33">
        <v>104619.06466666667</v>
      </c>
      <c r="W51" s="28">
        <v>436109.15600000002</v>
      </c>
      <c r="X51" s="28">
        <v>706473.26633333357</v>
      </c>
      <c r="Y51" s="33">
        <v>974856.81766666647</v>
      </c>
      <c r="Z51" s="33">
        <v>1052514.32125</v>
      </c>
      <c r="AA51" s="33">
        <v>1102046.8633124998</v>
      </c>
      <c r="AB51" s="33">
        <v>1157149.206478125</v>
      </c>
      <c r="AC51" s="33">
        <v>1215006.6668020315</v>
      </c>
      <c r="AD51" s="33">
        <v>1275757.0001421326</v>
      </c>
      <c r="AE51" s="33">
        <v>1339544.8501492394</v>
      </c>
      <c r="AF51" s="33">
        <v>1406522.0926567016</v>
      </c>
      <c r="AG51" s="33">
        <v>1476848.1972895362</v>
      </c>
      <c r="AH51" s="33">
        <v>1550690.6071540134</v>
      </c>
    </row>
    <row r="52" spans="1:34" s="33" customFormat="1" x14ac:dyDescent="0.25">
      <c r="A52" s="11" t="s">
        <v>53</v>
      </c>
      <c r="C52" s="12"/>
      <c r="U52" s="43" t="s">
        <v>58</v>
      </c>
      <c r="V52" s="33">
        <f>(V44*$B$20)-V47+(B50/2)</f>
        <v>-614659.60100000002</v>
      </c>
      <c r="W52" s="33">
        <f t="shared" ref="W52:AH52" si="75">(W44*$B$20)-W47</f>
        <v>-197129.98866666635</v>
      </c>
      <c r="X52" s="33">
        <f t="shared" si="75"/>
        <v>353236.63316666678</v>
      </c>
      <c r="Y52" s="33">
        <f t="shared" si="75"/>
        <v>487428.40883333323</v>
      </c>
      <c r="Z52" s="33">
        <f t="shared" si="75"/>
        <v>526257.16062500002</v>
      </c>
      <c r="AA52" s="33">
        <f t="shared" si="75"/>
        <v>551023.43165624992</v>
      </c>
      <c r="AB52" s="33">
        <f t="shared" si="75"/>
        <v>578574.60323906248</v>
      </c>
      <c r="AC52" s="33">
        <f t="shared" si="75"/>
        <v>607503.33340101573</v>
      </c>
      <c r="AD52" s="33">
        <f t="shared" si="75"/>
        <v>637878.50007106632</v>
      </c>
      <c r="AE52" s="33">
        <f t="shared" si="75"/>
        <v>669772.42507461971</v>
      </c>
      <c r="AF52" s="33">
        <f t="shared" si="75"/>
        <v>703261.04632835079</v>
      </c>
      <c r="AG52" s="33">
        <f t="shared" si="75"/>
        <v>738424.09864476812</v>
      </c>
      <c r="AH52" s="33">
        <f t="shared" si="75"/>
        <v>775345.30357700668</v>
      </c>
    </row>
    <row r="53" spans="1:34" s="33" customFormat="1" x14ac:dyDescent="0.25">
      <c r="A53" s="11" t="s">
        <v>54</v>
      </c>
      <c r="C53" s="12"/>
      <c r="U53" s="33" t="s">
        <v>59</v>
      </c>
      <c r="V53" s="33">
        <f>(V44*$B$19)-V48-(B50/2)</f>
        <v>-27090.467666666664</v>
      </c>
      <c r="W53" s="33">
        <f t="shared" ref="W53:AH53" si="76">W44*$B$19-W48</f>
        <v>38054.578000000009</v>
      </c>
      <c r="X53" s="33">
        <f t="shared" si="76"/>
        <v>113236.63316666678</v>
      </c>
      <c r="Y53" s="33">
        <f t="shared" si="76"/>
        <v>487428.40883333323</v>
      </c>
      <c r="Z53" s="33">
        <f t="shared" si="76"/>
        <v>526257.16062500002</v>
      </c>
      <c r="AA53" s="33">
        <f t="shared" si="76"/>
        <v>551023.43165624992</v>
      </c>
      <c r="AB53" s="33">
        <f t="shared" si="76"/>
        <v>578574.60323906248</v>
      </c>
      <c r="AC53" s="33">
        <f t="shared" si="76"/>
        <v>607503.33340101573</v>
      </c>
      <c r="AD53" s="33">
        <f t="shared" si="76"/>
        <v>637878.50007106632</v>
      </c>
      <c r="AE53" s="33">
        <f t="shared" si="76"/>
        <v>669772.42507461971</v>
      </c>
      <c r="AF53" s="33">
        <f t="shared" si="76"/>
        <v>703261.04632835079</v>
      </c>
      <c r="AG53" s="33">
        <f t="shared" si="76"/>
        <v>738424.09864476812</v>
      </c>
      <c r="AH53" s="33">
        <f t="shared" si="76"/>
        <v>775345.30357700668</v>
      </c>
    </row>
    <row r="54" spans="1:34" s="33" customFormat="1" x14ac:dyDescent="0.25">
      <c r="A54" s="11" t="s">
        <v>55</v>
      </c>
      <c r="C54" s="12"/>
      <c r="U54" s="33" t="s">
        <v>60</v>
      </c>
      <c r="V54" s="33">
        <f t="shared" ref="V54:AH54" si="77">V44-V49</f>
        <v>-641750.06866666686</v>
      </c>
      <c r="W54" s="33">
        <f t="shared" si="77"/>
        <v>-159075.4106666664</v>
      </c>
      <c r="X54" s="33">
        <f t="shared" si="77"/>
        <v>466473.26633333357</v>
      </c>
      <c r="Y54" s="33">
        <f t="shared" si="77"/>
        <v>974856.81766666647</v>
      </c>
      <c r="Z54" s="33">
        <f t="shared" si="77"/>
        <v>1052514.32125</v>
      </c>
      <c r="AA54" s="33">
        <f t="shared" si="77"/>
        <v>1102046.8633124998</v>
      </c>
      <c r="AB54" s="33">
        <f t="shared" si="77"/>
        <v>1157149.206478125</v>
      </c>
      <c r="AC54" s="33">
        <f t="shared" si="77"/>
        <v>1215006.6668020315</v>
      </c>
      <c r="AD54" s="33">
        <f t="shared" si="77"/>
        <v>1275757.0001421326</v>
      </c>
      <c r="AE54" s="33">
        <f t="shared" si="77"/>
        <v>1339544.8501492394</v>
      </c>
      <c r="AF54" s="33">
        <f t="shared" si="77"/>
        <v>1406522.0926567016</v>
      </c>
      <c r="AG54" s="33">
        <f t="shared" si="77"/>
        <v>1476848.1972895362</v>
      </c>
      <c r="AH54" s="33">
        <f t="shared" si="77"/>
        <v>1550690.6071540134</v>
      </c>
    </row>
    <row r="55" spans="1:34" s="33" customFormat="1" x14ac:dyDescent="0.25">
      <c r="C55" s="12"/>
      <c r="U55" s="33" t="s">
        <v>61</v>
      </c>
      <c r="V55" s="42">
        <f>IRR(V52:AH52)</f>
        <v>0.44297065277594561</v>
      </c>
    </row>
    <row r="56" spans="1:34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 t="s">
        <v>62</v>
      </c>
      <c r="V56" s="1">
        <f>IRR(V53:AH53)</f>
        <v>2.9933265580510735</v>
      </c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</row>
    <row r="57" spans="1:34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 t="s">
        <v>63</v>
      </c>
      <c r="V57" s="1">
        <f>IRR(V54:AH54)</f>
        <v>0.66873707855857045</v>
      </c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</row>
    <row r="58" spans="1:34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</row>
    <row r="59" spans="1:34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</row>
    <row r="60" spans="1:34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</row>
    <row r="61" spans="1:34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</row>
    <row r="62" spans="1:34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</row>
    <row r="63" spans="1:34" s="18" customFormat="1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</row>
    <row r="64" spans="1:34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</row>
    <row r="65" spans="1:34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</row>
    <row r="66" spans="1:34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</row>
    <row r="67" spans="1:34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</row>
    <row r="68" spans="1:34" ht="19.5" customHeight="1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</row>
    <row r="69" spans="1:34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</row>
    <row r="70" spans="1:34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</row>
    <row r="71" spans="1:34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</row>
    <row r="72" spans="1:34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</row>
    <row r="73" spans="1:34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</row>
    <row r="74" spans="1:34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</row>
    <row r="75" spans="1:34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</row>
    <row r="76" spans="1:34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</row>
    <row r="77" spans="1:34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</row>
    <row r="78" spans="1:34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</row>
    <row r="79" spans="1:34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</row>
    <row r="80" spans="1:34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</row>
    <row r="81" spans="1:34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</row>
    <row r="82" spans="1:34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</row>
    <row r="83" spans="1:34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</row>
    <row r="84" spans="1:34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</row>
    <row r="85" spans="1:34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</row>
    <row r="86" spans="1:34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</row>
    <row r="87" spans="1:34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</row>
    <row r="88" spans="1:34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</row>
    <row r="89" spans="1:34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</row>
    <row r="90" spans="1:34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</row>
    <row r="91" spans="1:34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</row>
    <row r="92" spans="1:34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</row>
    <row r="93" spans="1:34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</row>
    <row r="94" spans="1:34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</row>
    <row r="95" spans="1:34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1:34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3:30" x14ac:dyDescent="0.25">
      <c r="C97" s="13"/>
      <c r="D97" s="13"/>
      <c r="E97" s="13"/>
      <c r="L97" s="13"/>
      <c r="M97" s="13"/>
      <c r="X97" s="13"/>
      <c r="Y97" s="13"/>
      <c r="Z97" s="13"/>
      <c r="AA97" s="13"/>
      <c r="AB97" s="13"/>
      <c r="AC97" s="13"/>
      <c r="AD97" s="13"/>
    </row>
    <row r="98" spans="3:30" x14ac:dyDescent="0.25">
      <c r="C98" s="13"/>
      <c r="D98" s="13"/>
      <c r="E98" s="13"/>
      <c r="L98" s="13"/>
      <c r="M98" s="13"/>
      <c r="X98" s="13"/>
      <c r="Y98" s="13"/>
      <c r="Z98" s="13"/>
      <c r="AA98" s="13"/>
      <c r="AB98" s="13"/>
      <c r="AC98" s="13"/>
      <c r="AD98" s="13"/>
    </row>
    <row r="99" spans="3:30" x14ac:dyDescent="0.25">
      <c r="C99" s="13"/>
      <c r="D99" s="13"/>
      <c r="E99" s="13"/>
      <c r="L99" s="13"/>
      <c r="M99" s="13"/>
      <c r="X99" s="13"/>
      <c r="Y99" s="13"/>
      <c r="Z99" s="13"/>
      <c r="AA99" s="13"/>
      <c r="AB99" s="13"/>
      <c r="AC99" s="13"/>
      <c r="AD99" s="13"/>
    </row>
    <row r="100" spans="3:30" x14ac:dyDescent="0.25">
      <c r="C100" s="13"/>
      <c r="D100" s="13"/>
      <c r="E100" s="13"/>
      <c r="L100" s="13"/>
      <c r="M100" s="13"/>
      <c r="X100" s="4"/>
      <c r="Y100" s="4"/>
      <c r="Z100" s="13"/>
      <c r="AA100" s="4"/>
      <c r="AB100" s="4"/>
      <c r="AC100" s="4"/>
      <c r="AD100" s="13"/>
    </row>
  </sheetData>
  <mergeCells count="9">
    <mergeCell ref="A1:AG1"/>
    <mergeCell ref="C2:AC2"/>
    <mergeCell ref="C21:T21"/>
    <mergeCell ref="V21:AH21"/>
    <mergeCell ref="A27:A33"/>
    <mergeCell ref="A11:A14"/>
    <mergeCell ref="C22:H22"/>
    <mergeCell ref="I22:N22"/>
    <mergeCell ref="O22:T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فروض و نتایج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Windows User</cp:lastModifiedBy>
  <cp:lastPrinted>2018-01-15T11:26:06Z</cp:lastPrinted>
  <dcterms:created xsi:type="dcterms:W3CDTF">2017-11-06T11:55:33Z</dcterms:created>
  <dcterms:modified xsi:type="dcterms:W3CDTF">2018-06-27T11:12:31Z</dcterms:modified>
</cp:coreProperties>
</file>