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defaultThemeVersion="164011"/>
  <bookViews>
    <workbookView xWindow="-107" yWindow="-107" windowWidth="23255" windowHeight="12573" tabRatio="668" firstSheet="18" activeTab="24"/>
  </bookViews>
  <sheets>
    <sheet name="صورت های سود و زیان" sheetId="28" r:id="rId1"/>
    <sheet name="صورت های ترازنامه" sheetId="29" r:id="rId2"/>
    <sheet name="نسبت های مقایسه ای" sheetId="31" r:id="rId3"/>
    <sheet name="ساختار هزینه" sheetId="32" r:id="rId4"/>
    <sheet name="ترکیب فروش شبندر" sheetId="30" r:id="rId5"/>
    <sheet name="تحلیل ترکیبی حاشیه سود" sheetId="33" r:id="rId6"/>
    <sheet name="تحلیل Dupont" sheetId="34" r:id="rId7"/>
    <sheet name="تحلیل ترکیبی ROIC" sheetId="35" r:id="rId8"/>
    <sheet name="نسبت فراورده ها" sheetId="27" r:id="rId9"/>
    <sheet name="جدول فرضیات و مدل کلی" sheetId="5" r:id="rId10"/>
    <sheet name="پیش بینی فروش" sheetId="7" r:id="rId11"/>
    <sheet name="پیش بینی بهای تمام شده" sheetId="4" r:id="rId12"/>
    <sheet name="پیش بینی سایر" sheetId="12" r:id="rId13"/>
    <sheet name="  ارز-دلار نیمایی      " sheetId="14" r:id="rId14"/>
    <sheet name="نسبت قیمت نفت‌گاز به نفت برنت" sheetId="15" r:id="rId15"/>
    <sheet name="رویترز" sheetId="17" r:id="rId16"/>
    <sheet name="پیش‌بینی صورت سود و زیان" sheetId="18" r:id="rId17"/>
    <sheet name="بتا و نرخ تنزیل" sheetId="19" r:id="rId18"/>
    <sheet name="ارزشگذاری P|E" sheetId="20" r:id="rId19"/>
    <sheet name="ارزشگذاری P|S" sheetId="21" r:id="rId20"/>
    <sheet name="ارزشگذاری DDM" sheetId="22" r:id="rId21"/>
    <sheet name="ارزشگذاری نهایی" sheetId="24" r:id="rId22"/>
    <sheet name="تحلیل حساسیت" sheetId="26" r:id="rId23"/>
    <sheet name="متغیرهای مونت کارلو" sheetId="25" r:id="rId24"/>
    <sheet name="مونت کارلو" sheetId="23" r:id="rId25"/>
  </sheets>
  <externalReferences>
    <externalReference r:id="rId26"/>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C12" i="26" l="1"/>
  <c r="E14" i="26"/>
  <c r="H6" i="35"/>
  <c r="I6" i="35"/>
  <c r="J6" i="35"/>
  <c r="K6" i="35"/>
  <c r="H7" i="35" s="1"/>
  <c r="O5" i="35" s="1"/>
  <c r="L6" i="35"/>
  <c r="H10" i="35"/>
  <c r="I10" i="35"/>
  <c r="J10" i="35"/>
  <c r="K10" i="35"/>
  <c r="L10" i="35"/>
  <c r="H12" i="35"/>
  <c r="I12" i="35"/>
  <c r="J12" i="35"/>
  <c r="K12" i="35"/>
  <c r="L12" i="35"/>
  <c r="L17" i="35" s="1"/>
  <c r="H14" i="35"/>
  <c r="I14" i="35"/>
  <c r="I17" i="35" s="1"/>
  <c r="J14" i="35"/>
  <c r="J17" i="35" s="1"/>
  <c r="K14" i="35"/>
  <c r="K17" i="35" s="1"/>
  <c r="L14" i="35"/>
  <c r="H16" i="35"/>
  <c r="I16" i="35"/>
  <c r="J16" i="35"/>
  <c r="K16" i="35"/>
  <c r="L16" i="35"/>
  <c r="H17" i="35"/>
  <c r="H23" i="35"/>
  <c r="I23" i="35"/>
  <c r="H24" i="35" s="1"/>
  <c r="O6" i="35" s="1"/>
  <c r="J23" i="35"/>
  <c r="K23" i="35"/>
  <c r="L23" i="35"/>
  <c r="H27" i="35"/>
  <c r="I27" i="35"/>
  <c r="J27" i="35"/>
  <c r="K27" i="35"/>
  <c r="K34" i="35" s="1"/>
  <c r="L27" i="35"/>
  <c r="L34" i="35" s="1"/>
  <c r="H29" i="35"/>
  <c r="I29" i="35"/>
  <c r="J29" i="35"/>
  <c r="J34" i="35" s="1"/>
  <c r="K29" i="35"/>
  <c r="L29" i="35"/>
  <c r="H31" i="35"/>
  <c r="I31" i="35"/>
  <c r="I34" i="35" s="1"/>
  <c r="J31" i="35"/>
  <c r="K31" i="35"/>
  <c r="L31" i="35"/>
  <c r="H33" i="35"/>
  <c r="I33" i="35"/>
  <c r="J33" i="35"/>
  <c r="K33" i="35"/>
  <c r="L33" i="35"/>
  <c r="H34" i="35"/>
  <c r="H40" i="35"/>
  <c r="I40" i="35"/>
  <c r="H41" i="35" s="1"/>
  <c r="O7" i="35" s="1"/>
  <c r="J40" i="35"/>
  <c r="K40" i="35"/>
  <c r="L40" i="35"/>
  <c r="H44" i="35"/>
  <c r="I44" i="35"/>
  <c r="J44" i="35"/>
  <c r="K44" i="35"/>
  <c r="K51" i="35" s="1"/>
  <c r="L44" i="35"/>
  <c r="L51" i="35" s="1"/>
  <c r="H46" i="35"/>
  <c r="I46" i="35"/>
  <c r="J46" i="35"/>
  <c r="J51" i="35" s="1"/>
  <c r="K46" i="35"/>
  <c r="L46" i="35"/>
  <c r="H48" i="35"/>
  <c r="I48" i="35"/>
  <c r="I51" i="35" s="1"/>
  <c r="J48" i="35"/>
  <c r="K48" i="35"/>
  <c r="L48" i="35"/>
  <c r="H50" i="35"/>
  <c r="I50" i="35"/>
  <c r="J50" i="35"/>
  <c r="K50" i="35"/>
  <c r="L50" i="35"/>
  <c r="H51" i="35"/>
  <c r="H52" i="35" s="1"/>
  <c r="P7" i="35" s="1"/>
  <c r="H57" i="35"/>
  <c r="I57" i="35"/>
  <c r="H58" i="35" s="1"/>
  <c r="O8" i="35" s="1"/>
  <c r="J57" i="35"/>
  <c r="K57" i="35"/>
  <c r="L57" i="35"/>
  <c r="H61" i="35"/>
  <c r="I61" i="35"/>
  <c r="J61" i="35"/>
  <c r="K61" i="35"/>
  <c r="K68" i="35" s="1"/>
  <c r="L61" i="35"/>
  <c r="L68" i="35" s="1"/>
  <c r="H63" i="35"/>
  <c r="I63" i="35"/>
  <c r="J63" i="35"/>
  <c r="J68" i="35" s="1"/>
  <c r="K63" i="35"/>
  <c r="L63" i="35"/>
  <c r="H65" i="35"/>
  <c r="I65" i="35"/>
  <c r="I68" i="35" s="1"/>
  <c r="J65" i="35"/>
  <c r="K65" i="35"/>
  <c r="L65" i="35"/>
  <c r="H67" i="35"/>
  <c r="I67" i="35"/>
  <c r="J67" i="35"/>
  <c r="K67" i="35"/>
  <c r="L67" i="35"/>
  <c r="H68" i="35"/>
  <c r="H74" i="35"/>
  <c r="I74" i="35"/>
  <c r="H75" i="35" s="1"/>
  <c r="O9" i="35" s="1"/>
  <c r="J74" i="35"/>
  <c r="K74" i="35"/>
  <c r="L74" i="35"/>
  <c r="H78" i="35"/>
  <c r="I78" i="35"/>
  <c r="J78" i="35"/>
  <c r="K78" i="35"/>
  <c r="K85" i="35" s="1"/>
  <c r="L78" i="35"/>
  <c r="L85" i="35" s="1"/>
  <c r="H80" i="35"/>
  <c r="I80" i="35"/>
  <c r="J80" i="35"/>
  <c r="K80" i="35"/>
  <c r="L80" i="35"/>
  <c r="H82" i="35"/>
  <c r="I82" i="35"/>
  <c r="I85" i="35" s="1"/>
  <c r="J82" i="35"/>
  <c r="J85" i="35" s="1"/>
  <c r="K82" i="35"/>
  <c r="L82" i="35"/>
  <c r="H84" i="35"/>
  <c r="I84" i="35"/>
  <c r="J84" i="35"/>
  <c r="K84" i="35"/>
  <c r="L84" i="35"/>
  <c r="H85" i="35"/>
  <c r="H86" i="35" s="1"/>
  <c r="P9" i="35" s="1"/>
  <c r="G9" i="34"/>
  <c r="H9" i="34"/>
  <c r="I9" i="34"/>
  <c r="J9" i="34"/>
  <c r="J10" i="34" s="1"/>
  <c r="K9" i="34"/>
  <c r="K10" i="34" s="1"/>
  <c r="L10" i="34" s="1"/>
  <c r="G10" i="34"/>
  <c r="H10" i="34"/>
  <c r="I10" i="34"/>
  <c r="G12" i="34"/>
  <c r="G13" i="34" s="1"/>
  <c r="H12" i="34"/>
  <c r="I12" i="34"/>
  <c r="J12" i="34"/>
  <c r="K12" i="34"/>
  <c r="K17" i="34" s="1"/>
  <c r="L17" i="34" s="1"/>
  <c r="G14" i="34"/>
  <c r="L15" i="34"/>
  <c r="G17" i="34"/>
  <c r="G19" i="34"/>
  <c r="K19" i="34"/>
  <c r="L19" i="34"/>
  <c r="G21" i="34"/>
  <c r="K21" i="34"/>
  <c r="L21" i="34"/>
  <c r="E10" i="33"/>
  <c r="F10" i="33"/>
  <c r="G10" i="33"/>
  <c r="H10" i="33"/>
  <c r="I10" i="33"/>
  <c r="E11" i="33"/>
  <c r="F11" i="33"/>
  <c r="G11" i="33"/>
  <c r="H11" i="33"/>
  <c r="I11" i="33"/>
  <c r="E12" i="33"/>
  <c r="F12" i="33"/>
  <c r="G12" i="33"/>
  <c r="H12" i="33"/>
  <c r="I12" i="33"/>
  <c r="E13" i="33"/>
  <c r="F13" i="33"/>
  <c r="G13" i="33"/>
  <c r="H13" i="33"/>
  <c r="I13" i="33"/>
  <c r="E14" i="33"/>
  <c r="F14" i="33"/>
  <c r="G14" i="33"/>
  <c r="H14" i="33"/>
  <c r="I14" i="33"/>
  <c r="E24" i="33"/>
  <c r="F24" i="33"/>
  <c r="G24" i="33"/>
  <c r="H24" i="33"/>
  <c r="I24" i="33"/>
  <c r="E25" i="33"/>
  <c r="F25" i="33"/>
  <c r="G25" i="33"/>
  <c r="H25" i="33"/>
  <c r="I25" i="33"/>
  <c r="E26" i="33"/>
  <c r="F26" i="33"/>
  <c r="G26" i="33"/>
  <c r="H26" i="33"/>
  <c r="I26" i="33"/>
  <c r="E27" i="33"/>
  <c r="F27" i="33"/>
  <c r="G27" i="33"/>
  <c r="H27" i="33"/>
  <c r="I27" i="33"/>
  <c r="E28" i="33"/>
  <c r="F28" i="33"/>
  <c r="G28" i="33"/>
  <c r="H28" i="33"/>
  <c r="I28" i="33"/>
  <c r="E37" i="33"/>
  <c r="F37" i="33"/>
  <c r="G37" i="33"/>
  <c r="H37" i="33"/>
  <c r="I37" i="33"/>
  <c r="E38" i="33"/>
  <c r="F38" i="33"/>
  <c r="G38" i="33"/>
  <c r="H38" i="33"/>
  <c r="I38" i="33"/>
  <c r="E39" i="33"/>
  <c r="F39" i="33"/>
  <c r="G39" i="33"/>
  <c r="H39" i="33"/>
  <c r="I39" i="33"/>
  <c r="E40" i="33"/>
  <c r="F40" i="33"/>
  <c r="G40" i="33"/>
  <c r="H40" i="33"/>
  <c r="I40" i="33"/>
  <c r="E41" i="33"/>
  <c r="F41" i="33"/>
  <c r="G41" i="33"/>
  <c r="H41" i="33"/>
  <c r="I41" i="33"/>
  <c r="M51" i="32"/>
  <c r="L51" i="32"/>
  <c r="K51" i="32"/>
  <c r="J51" i="32"/>
  <c r="M45" i="32"/>
  <c r="L45" i="32"/>
  <c r="K45" i="32"/>
  <c r="J45" i="32"/>
  <c r="M39" i="32"/>
  <c r="L39" i="32"/>
  <c r="K39" i="32"/>
  <c r="J39" i="32"/>
  <c r="M33" i="32"/>
  <c r="L33" i="32"/>
  <c r="K33" i="32"/>
  <c r="J33" i="32"/>
  <c r="M25" i="32"/>
  <c r="L25" i="32"/>
  <c r="K25" i="32"/>
  <c r="T18" i="32"/>
  <c r="T19" i="32" s="1"/>
  <c r="S18" i="32"/>
  <c r="S19" i="32" s="1"/>
  <c r="R18" i="32"/>
  <c r="R19" i="32" s="1"/>
  <c r="Q18" i="32"/>
  <c r="Q19" i="32" s="1"/>
  <c r="T17" i="32"/>
  <c r="S17" i="32"/>
  <c r="R17" i="32"/>
  <c r="Q17" i="32"/>
  <c r="M16" i="32"/>
  <c r="L16" i="32"/>
  <c r="K16" i="32"/>
  <c r="M14" i="32"/>
  <c r="L14" i="32"/>
  <c r="K14" i="32"/>
  <c r="P9" i="32"/>
  <c r="M19" i="32" s="1"/>
  <c r="P8" i="32"/>
  <c r="L19" i="32" s="1"/>
  <c r="P7" i="32"/>
  <c r="K19" i="32" s="1"/>
  <c r="L6" i="32"/>
  <c r="J25" i="32" s="1"/>
  <c r="U38" i="31"/>
  <c r="Z9" i="31" s="1"/>
  <c r="T38" i="31"/>
  <c r="S38" i="31"/>
  <c r="R38" i="31"/>
  <c r="Q38" i="31"/>
  <c r="T36" i="31"/>
  <c r="S36" i="31"/>
  <c r="R36" i="31"/>
  <c r="Q36" i="31"/>
  <c r="U36" i="31" s="1"/>
  <c r="Y9" i="31" s="1"/>
  <c r="T34" i="31"/>
  <c r="S34" i="31"/>
  <c r="R34" i="31"/>
  <c r="Q34" i="31"/>
  <c r="U34" i="31" s="1"/>
  <c r="X9" i="31" s="1"/>
  <c r="T31" i="31"/>
  <c r="S31" i="31"/>
  <c r="U31" i="31" s="1"/>
  <c r="Z8" i="31" s="1"/>
  <c r="R31" i="31"/>
  <c r="Q31" i="31"/>
  <c r="T29" i="31"/>
  <c r="S29" i="31"/>
  <c r="R29" i="31"/>
  <c r="Q29" i="31"/>
  <c r="U29" i="31" s="1"/>
  <c r="Y8" i="31" s="1"/>
  <c r="U27" i="31"/>
  <c r="X8" i="31" s="1"/>
  <c r="T27" i="31"/>
  <c r="S27" i="31"/>
  <c r="R27" i="31"/>
  <c r="Q27" i="31"/>
  <c r="T24" i="31"/>
  <c r="S24" i="31"/>
  <c r="R24" i="31"/>
  <c r="U24" i="31" s="1"/>
  <c r="Z7" i="31" s="1"/>
  <c r="Q24" i="31"/>
  <c r="T22" i="31"/>
  <c r="S22" i="31"/>
  <c r="R22" i="31"/>
  <c r="Q22" i="31"/>
  <c r="U22" i="31" s="1"/>
  <c r="Y7" i="31" s="1"/>
  <c r="T20" i="31"/>
  <c r="U20" i="31" s="1"/>
  <c r="X7" i="31" s="1"/>
  <c r="S20" i="31"/>
  <c r="R20" i="31"/>
  <c r="Q20" i="31"/>
  <c r="F20" i="31"/>
  <c r="I19" i="31"/>
  <c r="H19" i="31"/>
  <c r="G19" i="31"/>
  <c r="I18" i="31"/>
  <c r="H18" i="31"/>
  <c r="G18" i="31"/>
  <c r="T17" i="31"/>
  <c r="S17" i="31"/>
  <c r="U17" i="31" s="1"/>
  <c r="Z6" i="31" s="1"/>
  <c r="R17" i="31"/>
  <c r="Q17" i="31"/>
  <c r="I17" i="31"/>
  <c r="H17" i="31"/>
  <c r="G17" i="31"/>
  <c r="I16" i="31"/>
  <c r="H16" i="31"/>
  <c r="G16" i="31"/>
  <c r="T15" i="31"/>
  <c r="S15" i="31"/>
  <c r="R15" i="31"/>
  <c r="Q15" i="31"/>
  <c r="U15" i="31" s="1"/>
  <c r="Y6" i="31" s="1"/>
  <c r="I15" i="31"/>
  <c r="I20" i="31" s="1"/>
  <c r="H15" i="31"/>
  <c r="H20" i="31" s="1"/>
  <c r="G15" i="31"/>
  <c r="G20" i="31" s="1"/>
  <c r="T13" i="31"/>
  <c r="S13" i="31"/>
  <c r="R13" i="31"/>
  <c r="Q13" i="31"/>
  <c r="U13" i="31" s="1"/>
  <c r="X6" i="31" s="1"/>
  <c r="T10" i="31"/>
  <c r="S10" i="31"/>
  <c r="R10" i="31"/>
  <c r="Q10" i="31"/>
  <c r="U10" i="31" s="1"/>
  <c r="Z5" i="31" s="1"/>
  <c r="T8" i="31"/>
  <c r="S8" i="31"/>
  <c r="R8" i="31"/>
  <c r="Q8" i="31"/>
  <c r="U8" i="31" s="1"/>
  <c r="Y5" i="31" s="1"/>
  <c r="T6" i="31"/>
  <c r="U6" i="31" s="1"/>
  <c r="X5" i="31" s="1"/>
  <c r="X10" i="31" s="1"/>
  <c r="S6" i="31"/>
  <c r="R6" i="31"/>
  <c r="Q6" i="31"/>
  <c r="H69" i="35" l="1"/>
  <c r="P8" i="35" s="1"/>
  <c r="H35" i="35"/>
  <c r="P6" i="35" s="1"/>
  <c r="O10" i="35"/>
  <c r="H18" i="35"/>
  <c r="P5" i="35" s="1"/>
  <c r="P10" i="35" s="1"/>
  <c r="K13" i="34"/>
  <c r="L13" i="34" s="1"/>
  <c r="K14" i="34"/>
  <c r="L14" i="34" s="1"/>
  <c r="P6" i="32"/>
  <c r="J19" i="32" s="1"/>
  <c r="K15" i="32"/>
  <c r="K17" i="32"/>
  <c r="K18" i="32"/>
  <c r="L15" i="32"/>
  <c r="L17" i="32"/>
  <c r="L18" i="32"/>
  <c r="M15" i="32"/>
  <c r="M17" i="32"/>
  <c r="M18" i="32"/>
  <c r="Y10" i="31"/>
  <c r="Z10" i="31"/>
  <c r="E10" i="24"/>
  <c r="O32" i="29"/>
  <c r="N32" i="29"/>
  <c r="M32" i="29"/>
  <c r="L32" i="29"/>
  <c r="K32" i="29"/>
  <c r="K31" i="29" s="1"/>
  <c r="O31" i="29"/>
  <c r="N31" i="29"/>
  <c r="O30" i="29"/>
  <c r="N30" i="29"/>
  <c r="M30" i="29"/>
  <c r="M31" i="29" s="1"/>
  <c r="L30" i="29"/>
  <c r="L31" i="29" s="1"/>
  <c r="K30" i="29"/>
  <c r="O29" i="29"/>
  <c r="N29" i="29"/>
  <c r="M29" i="29"/>
  <c r="L29" i="29"/>
  <c r="K29" i="29"/>
  <c r="O28" i="29"/>
  <c r="N28" i="29"/>
  <c r="M28" i="29"/>
  <c r="L28" i="29"/>
  <c r="K28" i="29"/>
  <c r="O26" i="29"/>
  <c r="N26" i="29"/>
  <c r="M26" i="29"/>
  <c r="L26" i="29"/>
  <c r="L25" i="29" s="1"/>
  <c r="K26" i="29"/>
  <c r="K25" i="29" s="1"/>
  <c r="O25" i="29"/>
  <c r="O24" i="29"/>
  <c r="N24" i="29"/>
  <c r="N25" i="29" s="1"/>
  <c r="M24" i="29"/>
  <c r="M25" i="29" s="1"/>
  <c r="L24" i="29"/>
  <c r="K24" i="29"/>
  <c r="O23" i="29"/>
  <c r="N23" i="29"/>
  <c r="M23" i="29"/>
  <c r="L23" i="29"/>
  <c r="K23" i="29"/>
  <c r="O22" i="29"/>
  <c r="N22" i="29"/>
  <c r="M22" i="29"/>
  <c r="L22" i="29"/>
  <c r="K22" i="29"/>
  <c r="O20" i="29"/>
  <c r="N20" i="29"/>
  <c r="M20" i="29"/>
  <c r="M19" i="29" s="1"/>
  <c r="L20" i="29"/>
  <c r="L19" i="29" s="1"/>
  <c r="K20" i="29"/>
  <c r="K19" i="29" s="1"/>
  <c r="O18" i="29"/>
  <c r="N18" i="29"/>
  <c r="M18" i="29"/>
  <c r="L18" i="29"/>
  <c r="K18" i="29"/>
  <c r="O17" i="29"/>
  <c r="N17" i="29"/>
  <c r="M17" i="29"/>
  <c r="L17" i="29"/>
  <c r="K17" i="29"/>
  <c r="O16" i="29"/>
  <c r="N16" i="29"/>
  <c r="M16" i="29"/>
  <c r="L16" i="29"/>
  <c r="K16" i="29"/>
  <c r="O15" i="29"/>
  <c r="N15" i="29"/>
  <c r="M15" i="29"/>
  <c r="L15" i="29"/>
  <c r="K15" i="29"/>
  <c r="O14" i="29"/>
  <c r="O19" i="29" s="1"/>
  <c r="N14" i="29"/>
  <c r="N19" i="29" s="1"/>
  <c r="M14" i="29"/>
  <c r="L14" i="29"/>
  <c r="K14" i="29"/>
  <c r="J14" i="32" l="1"/>
  <c r="J16" i="32"/>
  <c r="J18" i="32"/>
  <c r="J17" i="32"/>
  <c r="J15" i="32"/>
  <c r="H147" i="28"/>
  <c r="G147" i="28"/>
  <c r="F147" i="28"/>
  <c r="E147" i="28"/>
  <c r="D147" i="28"/>
  <c r="H116" i="28"/>
  <c r="G116" i="28"/>
  <c r="F116" i="28"/>
  <c r="E116" i="28"/>
  <c r="D116" i="28"/>
  <c r="H87" i="28"/>
  <c r="G87" i="28"/>
  <c r="F87" i="28"/>
  <c r="E87" i="28"/>
  <c r="D87" i="28"/>
  <c r="H56" i="28"/>
  <c r="G56" i="28"/>
  <c r="F56" i="28"/>
  <c r="E56" i="28"/>
  <c r="D56" i="28"/>
  <c r="P20" i="28"/>
  <c r="O20" i="28"/>
  <c r="N20" i="28"/>
  <c r="M20" i="28"/>
  <c r="L20" i="28"/>
  <c r="K20" i="28"/>
  <c r="P19" i="28"/>
  <c r="O19" i="28"/>
  <c r="N19" i="28"/>
  <c r="M19" i="28"/>
  <c r="L19" i="28"/>
  <c r="K19" i="28"/>
  <c r="P18" i="28"/>
  <c r="O18" i="28"/>
  <c r="N18" i="28"/>
  <c r="M18" i="28"/>
  <c r="L18" i="28"/>
  <c r="K18" i="28"/>
  <c r="P17" i="28"/>
  <c r="O17" i="28"/>
  <c r="N17" i="28"/>
  <c r="M17" i="28"/>
  <c r="L17" i="28"/>
  <c r="K17" i="28"/>
  <c r="P16" i="28"/>
  <c r="O16" i="28"/>
  <c r="N16" i="28"/>
  <c r="M16" i="28"/>
  <c r="L16" i="28"/>
  <c r="K16" i="28"/>
  <c r="P15" i="28"/>
  <c r="O15" i="28"/>
  <c r="N15" i="28"/>
  <c r="M15" i="28"/>
  <c r="L15" i="28"/>
  <c r="K15" i="28"/>
  <c r="P14" i="28"/>
  <c r="O14" i="28"/>
  <c r="N14" i="28"/>
  <c r="M14" i="28"/>
  <c r="L14" i="28"/>
  <c r="K14" i="28"/>
  <c r="P13" i="28"/>
  <c r="O13" i="28"/>
  <c r="N13" i="28"/>
  <c r="M13" i="28"/>
  <c r="L13" i="28"/>
  <c r="K13" i="28"/>
  <c r="P12" i="28"/>
  <c r="O12" i="28"/>
  <c r="N12" i="28"/>
  <c r="M12" i="28"/>
  <c r="L12" i="28"/>
  <c r="K12" i="28"/>
  <c r="P11" i="28"/>
  <c r="O11" i="28"/>
  <c r="N11" i="28"/>
  <c r="M11" i="28"/>
  <c r="L11" i="28"/>
  <c r="K11" i="28"/>
  <c r="P10" i="28"/>
  <c r="O10" i="28"/>
  <c r="N10" i="28"/>
  <c r="M10" i="28"/>
  <c r="L10" i="28"/>
  <c r="K10" i="28"/>
  <c r="O5" i="26" l="1"/>
  <c r="H5" i="27"/>
  <c r="H6" i="27"/>
  <c r="H7" i="27"/>
  <c r="H8" i="27"/>
  <c r="H9" i="27"/>
  <c r="J11" i="27"/>
  <c r="J12" i="27" s="1"/>
  <c r="K19" i="27"/>
  <c r="J27" i="27"/>
  <c r="J28" i="27" s="1"/>
  <c r="K35" i="27"/>
  <c r="J45" i="27"/>
  <c r="J46" i="27"/>
  <c r="K53" i="27"/>
  <c r="J62" i="27"/>
  <c r="J63" i="27"/>
  <c r="K70" i="27"/>
  <c r="J76" i="27"/>
  <c r="J77" i="27"/>
  <c r="K84" i="27"/>
  <c r="O23" i="23"/>
  <c r="O24" i="23"/>
  <c r="T19" i="23"/>
  <c r="X7" i="26"/>
  <c r="AC18" i="26"/>
  <c r="AC19" i="26" s="1"/>
  <c r="F6" i="22"/>
  <c r="F18" i="26"/>
  <c r="G18" i="26" s="1"/>
  <c r="H18" i="26" s="1"/>
  <c r="M16" i="26"/>
  <c r="K7" i="19"/>
  <c r="H32" i="26"/>
  <c r="E32" i="26"/>
  <c r="E33" i="26" s="1"/>
  <c r="H11" i="26"/>
  <c r="G11" i="26"/>
  <c r="F11" i="26"/>
  <c r="E11" i="26"/>
  <c r="E25" i="26"/>
  <c r="F25" i="26"/>
  <c r="F26" i="26" s="1"/>
  <c r="F28" i="26" s="1"/>
  <c r="G25" i="26"/>
  <c r="G26" i="26" s="1"/>
  <c r="G28" i="26" s="1"/>
  <c r="G32" i="26"/>
  <c r="D50" i="26"/>
  <c r="C47" i="26"/>
  <c r="D28" i="26"/>
  <c r="C28" i="26"/>
  <c r="H5" i="26"/>
  <c r="H7" i="26" s="1"/>
  <c r="H8" i="26" s="1"/>
  <c r="H10" i="26" s="1"/>
  <c r="G5" i="26"/>
  <c r="F5" i="26"/>
  <c r="E5" i="26"/>
  <c r="D5" i="26"/>
  <c r="D7" i="26" s="1"/>
  <c r="D8" i="26" s="1"/>
  <c r="D10" i="26" s="1"/>
  <c r="D12" i="26" s="1"/>
  <c r="D15" i="26" s="1"/>
  <c r="D17" i="26" s="1"/>
  <c r="D19" i="26" s="1"/>
  <c r="C46" i="26" s="1"/>
  <c r="C5" i="26"/>
  <c r="C7" i="26" s="1"/>
  <c r="C8" i="26" s="1"/>
  <c r="C10" i="26" s="1"/>
  <c r="C12" i="26" s="1"/>
  <c r="C15" i="26" s="1"/>
  <c r="C17" i="26" s="1"/>
  <c r="C19" i="26" s="1"/>
  <c r="F6" i="24"/>
  <c r="N5" i="26" l="1"/>
  <c r="M5" i="26"/>
  <c r="L5" i="26"/>
  <c r="K5" i="26"/>
  <c r="E26" i="26"/>
  <c r="E28" i="26" s="1"/>
  <c r="F32" i="26"/>
  <c r="H25" i="26"/>
  <c r="H26" i="26" s="1"/>
  <c r="H28" i="26" s="1"/>
  <c r="G7" i="26"/>
  <c r="G8" i="26" s="1"/>
  <c r="G10" i="26" s="1"/>
  <c r="G12" i="26" s="1"/>
  <c r="F7" i="26"/>
  <c r="F8" i="26" s="1"/>
  <c r="F10" i="26" s="1"/>
  <c r="F12" i="26" s="1"/>
  <c r="E7" i="26"/>
  <c r="E8" i="26" s="1"/>
  <c r="E10" i="26" s="1"/>
  <c r="E12" i="26" s="1"/>
  <c r="E15" i="26" s="1"/>
  <c r="E17" i="26" s="1"/>
  <c r="E19" i="26" s="1"/>
  <c r="D46" i="26" s="1"/>
  <c r="H12" i="26"/>
  <c r="F30" i="26"/>
  <c r="E30" i="26"/>
  <c r="G30" i="26"/>
  <c r="F33" i="26"/>
  <c r="E35" i="26"/>
  <c r="C48" i="26"/>
  <c r="C49" i="26" s="1"/>
  <c r="E50" i="26"/>
  <c r="F14" i="26"/>
  <c r="E36" i="26"/>
  <c r="K32" i="23"/>
  <c r="Q29" i="23"/>
  <c r="F2" i="23"/>
  <c r="G2" i="23"/>
  <c r="H2" i="23"/>
  <c r="E2" i="23"/>
  <c r="K34" i="23"/>
  <c r="P29" i="23"/>
  <c r="AE7" i="23"/>
  <c r="AE8" i="23"/>
  <c r="K33" i="23" l="1"/>
  <c r="K39" i="23" s="1"/>
  <c r="E37" i="26"/>
  <c r="E38" i="26" s="1"/>
  <c r="H30" i="26"/>
  <c r="F15" i="26"/>
  <c r="F17" i="26" s="1"/>
  <c r="F19" i="26" s="1"/>
  <c r="E46" i="26" s="1"/>
  <c r="C51" i="26"/>
  <c r="C53" i="26"/>
  <c r="G33" i="26"/>
  <c r="F35" i="26"/>
  <c r="F36" i="26"/>
  <c r="G14" i="26"/>
  <c r="G15" i="26" s="1"/>
  <c r="G17" i="26" s="1"/>
  <c r="G19" i="26" s="1"/>
  <c r="F50" i="26"/>
  <c r="AE9" i="23"/>
  <c r="AE10" i="23"/>
  <c r="C54" i="26" l="1"/>
  <c r="C56" i="26" s="1"/>
  <c r="C57" i="26" s="1"/>
  <c r="C59" i="26" s="1"/>
  <c r="C60" i="26" s="1"/>
  <c r="K4" i="26" s="1"/>
  <c r="K6" i="26" s="1"/>
  <c r="K7" i="26" s="1"/>
  <c r="F37" i="26"/>
  <c r="G35" i="26"/>
  <c r="H33" i="26"/>
  <c r="H35" i="26" s="1"/>
  <c r="E40" i="26"/>
  <c r="E41" i="26" s="1"/>
  <c r="G50" i="26"/>
  <c r="G36" i="26"/>
  <c r="F46" i="26"/>
  <c r="H14" i="26"/>
  <c r="H15" i="26" s="1"/>
  <c r="H17" i="26" s="1"/>
  <c r="H19" i="26" s="1"/>
  <c r="F13" i="23"/>
  <c r="H13" i="23"/>
  <c r="G13" i="23"/>
  <c r="E13" i="23"/>
  <c r="AE12" i="23"/>
  <c r="F40" i="26" l="1"/>
  <c r="F38" i="26"/>
  <c r="E43" i="26"/>
  <c r="D47" i="26" s="1"/>
  <c r="D48" i="26" s="1"/>
  <c r="H36" i="26"/>
  <c r="H37" i="26" s="1"/>
  <c r="H38" i="26" s="1"/>
  <c r="G46" i="26"/>
  <c r="G37" i="26"/>
  <c r="G38" i="26" s="1"/>
  <c r="E14" i="23"/>
  <c r="F14" i="23" s="1"/>
  <c r="V4" i="23"/>
  <c r="V5" i="23" s="1"/>
  <c r="V6" i="23" s="1"/>
  <c r="V7" i="23" s="1"/>
  <c r="E11" i="23" s="1"/>
  <c r="T4" i="23"/>
  <c r="T5" i="23" s="1"/>
  <c r="T6" i="23" s="1"/>
  <c r="T7" i="23" s="1"/>
  <c r="Q7" i="25"/>
  <c r="Q6" i="25"/>
  <c r="Q5" i="25"/>
  <c r="Q4" i="25"/>
  <c r="D14" i="18"/>
  <c r="D13" i="18"/>
  <c r="D12" i="18"/>
  <c r="D11" i="18"/>
  <c r="D50" i="23"/>
  <c r="E50" i="23" s="1"/>
  <c r="F50" i="23" s="1"/>
  <c r="G50" i="23" s="1"/>
  <c r="D10" i="18"/>
  <c r="D9" i="18"/>
  <c r="C47" i="23"/>
  <c r="D28" i="23"/>
  <c r="C28" i="23"/>
  <c r="E5" i="23"/>
  <c r="F5" i="23"/>
  <c r="G5" i="23"/>
  <c r="H5" i="23"/>
  <c r="D5" i="23"/>
  <c r="D7" i="23" s="1"/>
  <c r="D8" i="23" s="1"/>
  <c r="C5" i="23"/>
  <c r="C7" i="23" s="1"/>
  <c r="C8" i="23" s="1"/>
  <c r="C10" i="23" s="1"/>
  <c r="C12" i="23" s="1"/>
  <c r="C15" i="23" s="1"/>
  <c r="D6" i="18"/>
  <c r="E6" i="18"/>
  <c r="F6" i="18"/>
  <c r="G6" i="18"/>
  <c r="H6" i="18"/>
  <c r="Q5" i="23"/>
  <c r="H18" i="23" s="1"/>
  <c r="P5" i="23"/>
  <c r="P4" i="23"/>
  <c r="G6" i="23" s="1"/>
  <c r="G25" i="23" s="1"/>
  <c r="G26" i="23" s="1"/>
  <c r="G30" i="23" s="1"/>
  <c r="C18" i="7"/>
  <c r="D14" i="4"/>
  <c r="E14" i="4"/>
  <c r="F14" i="4"/>
  <c r="G14" i="4"/>
  <c r="H14" i="4"/>
  <c r="C14" i="4"/>
  <c r="F11" i="7"/>
  <c r="G11" i="7"/>
  <c r="H11" i="7"/>
  <c r="E11" i="7"/>
  <c r="N13" i="22"/>
  <c r="N10" i="22"/>
  <c r="G7" i="22" s="1"/>
  <c r="F7" i="21"/>
  <c r="F6" i="21"/>
  <c r="F5" i="21"/>
  <c r="C15" i="21"/>
  <c r="C15" i="20"/>
  <c r="G6" i="20" s="1"/>
  <c r="F41" i="26" l="1"/>
  <c r="F43" i="26" s="1"/>
  <c r="E47" i="26" s="1"/>
  <c r="E48" i="26" s="1"/>
  <c r="E49" i="26" s="1"/>
  <c r="E51" i="26" s="1"/>
  <c r="D49" i="26"/>
  <c r="D51" i="26" s="1"/>
  <c r="D53" i="26"/>
  <c r="H40" i="26"/>
  <c r="G40" i="26"/>
  <c r="F18" i="23"/>
  <c r="D10" i="23"/>
  <c r="D12" i="23" s="1"/>
  <c r="D15" i="23" s="1"/>
  <c r="D17" i="23" s="1"/>
  <c r="D19" i="23" s="1"/>
  <c r="L21" i="23" s="1"/>
  <c r="E6" i="23"/>
  <c r="E25" i="23" s="1"/>
  <c r="E26" i="23" s="1"/>
  <c r="E30" i="23" s="1"/>
  <c r="E36" i="23"/>
  <c r="E31" i="23"/>
  <c r="C17" i="23"/>
  <c r="C19" i="23" s="1"/>
  <c r="G14" i="23"/>
  <c r="H14" i="23" s="1"/>
  <c r="H36" i="23" s="1"/>
  <c r="F36" i="23"/>
  <c r="G7" i="23"/>
  <c r="G18" i="23"/>
  <c r="E18" i="23"/>
  <c r="F6" i="23"/>
  <c r="H6" i="23"/>
  <c r="G28" i="23"/>
  <c r="W4" i="23"/>
  <c r="F31" i="23" s="1"/>
  <c r="U4" i="23"/>
  <c r="U5" i="23" s="1"/>
  <c r="U6" i="23" s="1"/>
  <c r="U7" i="23" s="1"/>
  <c r="F7" i="22"/>
  <c r="J7" i="22"/>
  <c r="I7" i="22"/>
  <c r="H7" i="22"/>
  <c r="G64" i="19"/>
  <c r="E64" i="19"/>
  <c r="G63" i="19"/>
  <c r="E63" i="19"/>
  <c r="G62" i="19"/>
  <c r="E62" i="19"/>
  <c r="G61" i="19"/>
  <c r="E61" i="19"/>
  <c r="G60" i="19"/>
  <c r="E60" i="19"/>
  <c r="G59" i="19"/>
  <c r="E59" i="19"/>
  <c r="G58" i="19"/>
  <c r="E58" i="19"/>
  <c r="G57" i="19"/>
  <c r="E57" i="19"/>
  <c r="G56" i="19"/>
  <c r="E56" i="19"/>
  <c r="G55" i="19"/>
  <c r="E55" i="19"/>
  <c r="G54" i="19"/>
  <c r="E54" i="19"/>
  <c r="G53" i="19"/>
  <c r="E53" i="19"/>
  <c r="G52" i="19"/>
  <c r="E52" i="19"/>
  <c r="G51" i="19"/>
  <c r="E51" i="19"/>
  <c r="G50" i="19"/>
  <c r="E50" i="19"/>
  <c r="G49" i="19"/>
  <c r="E49" i="19"/>
  <c r="G48" i="19"/>
  <c r="E48" i="19"/>
  <c r="G47" i="19"/>
  <c r="E47" i="19"/>
  <c r="G46" i="19"/>
  <c r="E46" i="19"/>
  <c r="G45" i="19"/>
  <c r="E45" i="19"/>
  <c r="G44" i="19"/>
  <c r="E44" i="19"/>
  <c r="G43" i="19"/>
  <c r="E43" i="19"/>
  <c r="G42" i="19"/>
  <c r="E42" i="19"/>
  <c r="G41" i="19"/>
  <c r="E41" i="19"/>
  <c r="G40" i="19"/>
  <c r="E40" i="19"/>
  <c r="G39" i="19"/>
  <c r="E39" i="19"/>
  <c r="G38" i="19"/>
  <c r="E38" i="19"/>
  <c r="G37" i="19"/>
  <c r="E37" i="19"/>
  <c r="G36" i="19"/>
  <c r="E36" i="19"/>
  <c r="G35" i="19"/>
  <c r="E35" i="19"/>
  <c r="G34" i="19"/>
  <c r="E34" i="19"/>
  <c r="G33" i="19"/>
  <c r="E33" i="19"/>
  <c r="G32" i="19"/>
  <c r="E32" i="19"/>
  <c r="G31" i="19"/>
  <c r="E31" i="19"/>
  <c r="G30" i="19"/>
  <c r="E30" i="19"/>
  <c r="G29" i="19"/>
  <c r="E29" i="19"/>
  <c r="G28" i="19"/>
  <c r="E28" i="19"/>
  <c r="G27" i="19"/>
  <c r="E27" i="19"/>
  <c r="G26" i="19"/>
  <c r="E26" i="19"/>
  <c r="G25" i="19"/>
  <c r="E25" i="19"/>
  <c r="G24" i="19"/>
  <c r="E24" i="19"/>
  <c r="G23" i="19"/>
  <c r="E23" i="19"/>
  <c r="G22" i="19"/>
  <c r="E22" i="19"/>
  <c r="G21" i="19"/>
  <c r="E21" i="19"/>
  <c r="G20" i="19"/>
  <c r="E20" i="19"/>
  <c r="G19" i="19"/>
  <c r="E19" i="19"/>
  <c r="G18" i="19"/>
  <c r="E18" i="19"/>
  <c r="G17" i="19"/>
  <c r="E17" i="19"/>
  <c r="G16" i="19"/>
  <c r="E16" i="19"/>
  <c r="G15" i="19"/>
  <c r="E15" i="19"/>
  <c r="G14" i="19"/>
  <c r="E14" i="19"/>
  <c r="G13" i="19"/>
  <c r="E13" i="19"/>
  <c r="G12" i="19"/>
  <c r="E12" i="19"/>
  <c r="G11" i="19"/>
  <c r="E11" i="19"/>
  <c r="G10" i="19"/>
  <c r="E10" i="19"/>
  <c r="G9" i="19"/>
  <c r="K6" i="19" s="1"/>
  <c r="E9" i="19"/>
  <c r="G8" i="19"/>
  <c r="E8" i="19"/>
  <c r="G7" i="19"/>
  <c r="E7" i="19"/>
  <c r="G6" i="19"/>
  <c r="E6" i="19"/>
  <c r="K38" i="12"/>
  <c r="E10" i="18"/>
  <c r="F10" i="18" s="1"/>
  <c r="G10" i="18" s="1"/>
  <c r="H10" i="18" s="1"/>
  <c r="W24" i="12"/>
  <c r="D7" i="18"/>
  <c r="E53" i="26" l="1"/>
  <c r="E54" i="26" s="1"/>
  <c r="D54" i="26"/>
  <c r="D56" i="26" s="1"/>
  <c r="D57" i="26" s="1"/>
  <c r="D59" i="26" s="1"/>
  <c r="D60" i="26" s="1"/>
  <c r="L4" i="26" s="1"/>
  <c r="L6" i="26" s="1"/>
  <c r="G41" i="26"/>
  <c r="G43" i="26" s="1"/>
  <c r="F47" i="26" s="1"/>
  <c r="F48" i="26" s="1"/>
  <c r="H41" i="26"/>
  <c r="H43" i="26" s="1"/>
  <c r="G47" i="26" s="1"/>
  <c r="G48" i="26" s="1"/>
  <c r="E28" i="23"/>
  <c r="E7" i="23"/>
  <c r="E8" i="23" s="1"/>
  <c r="E10" i="23" s="1"/>
  <c r="E12" i="23" s="1"/>
  <c r="E15" i="23" s="1"/>
  <c r="E17" i="23" s="1"/>
  <c r="E19" i="23" s="1"/>
  <c r="D46" i="23" s="1"/>
  <c r="C46" i="23"/>
  <c r="C48" i="23" s="1"/>
  <c r="C49" i="23" s="1"/>
  <c r="G36" i="23"/>
  <c r="G8" i="23"/>
  <c r="G10" i="23" s="1"/>
  <c r="F32" i="23"/>
  <c r="E32" i="23"/>
  <c r="H7" i="23"/>
  <c r="H25" i="23"/>
  <c r="H26" i="23" s="1"/>
  <c r="F7" i="23"/>
  <c r="F25" i="23"/>
  <c r="F26" i="23" s="1"/>
  <c r="W5" i="23"/>
  <c r="W6" i="23" s="1"/>
  <c r="W7" i="23" s="1"/>
  <c r="F11" i="23" s="1"/>
  <c r="X4" i="23"/>
  <c r="D8" i="18"/>
  <c r="E56" i="26" l="1"/>
  <c r="E57" i="26" s="1"/>
  <c r="E59" i="26" s="1"/>
  <c r="E60" i="26" s="1"/>
  <c r="M4" i="26" s="1"/>
  <c r="M6" i="26" s="1"/>
  <c r="L8" i="26"/>
  <c r="L7" i="26"/>
  <c r="F49" i="26"/>
  <c r="F51" i="26" s="1"/>
  <c r="G49" i="26"/>
  <c r="G51" i="26" s="1"/>
  <c r="F53" i="26"/>
  <c r="G53" i="26"/>
  <c r="C51" i="23"/>
  <c r="C53" i="23"/>
  <c r="E33" i="23"/>
  <c r="G31" i="23"/>
  <c r="G32" i="23" s="1"/>
  <c r="F8" i="23"/>
  <c r="F10" i="23" s="1"/>
  <c r="F12" i="23" s="1"/>
  <c r="F15" i="23" s="1"/>
  <c r="F17" i="23" s="1"/>
  <c r="F19" i="23" s="1"/>
  <c r="E46" i="23" s="1"/>
  <c r="H8" i="23"/>
  <c r="H10" i="23" s="1"/>
  <c r="F30" i="23"/>
  <c r="F28" i="23"/>
  <c r="H28" i="23"/>
  <c r="H30" i="23"/>
  <c r="Y4" i="23"/>
  <c r="H31" i="23" s="1"/>
  <c r="X5" i="23"/>
  <c r="X6" i="23" s="1"/>
  <c r="X7" i="23" s="1"/>
  <c r="G11" i="23" s="1"/>
  <c r="G12" i="23" s="1"/>
  <c r="D16" i="18"/>
  <c r="D17" i="18" s="1"/>
  <c r="D19" i="18" s="1"/>
  <c r="D20" i="18" s="1"/>
  <c r="M8" i="26" l="1"/>
  <c r="M7" i="26"/>
  <c r="G54" i="26"/>
  <c r="G56" i="26" s="1"/>
  <c r="G57" i="26" s="1"/>
  <c r="G59" i="26" s="1"/>
  <c r="G60" i="26" s="1"/>
  <c r="O4" i="26" s="1"/>
  <c r="O6" i="26" s="1"/>
  <c r="O7" i="26" s="1"/>
  <c r="F54" i="26"/>
  <c r="F56" i="26" s="1"/>
  <c r="C54" i="23"/>
  <c r="C56" i="23" s="1"/>
  <c r="C57" i="23" s="1"/>
  <c r="C59" i="23" s="1"/>
  <c r="C60" i="23" s="1"/>
  <c r="E35" i="23"/>
  <c r="E37" i="23" s="1"/>
  <c r="E38" i="23" s="1"/>
  <c r="F33" i="23"/>
  <c r="G33" i="23" s="1"/>
  <c r="G15" i="23"/>
  <c r="G17" i="23" s="1"/>
  <c r="G19" i="23" s="1"/>
  <c r="F46" i="23" s="1"/>
  <c r="Y5" i="23"/>
  <c r="Y6" i="23" s="1"/>
  <c r="Y7" i="23" s="1"/>
  <c r="H11" i="23" s="1"/>
  <c r="H12" i="23" s="1"/>
  <c r="H32" i="23"/>
  <c r="F8" i="22"/>
  <c r="G7" i="20"/>
  <c r="G8" i="20" s="1"/>
  <c r="D23" i="4"/>
  <c r="C23" i="4"/>
  <c r="D24" i="4"/>
  <c r="D21" i="4"/>
  <c r="C21" i="4"/>
  <c r="C10" i="4"/>
  <c r="D15" i="7"/>
  <c r="C15" i="7"/>
  <c r="C12" i="7"/>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5" i="15"/>
  <c r="G9" i="17"/>
  <c r="G10" i="17"/>
  <c r="C11" i="7"/>
  <c r="C10" i="7"/>
  <c r="C9" i="7"/>
  <c r="C16" i="4"/>
  <c r="P6" i="17"/>
  <c r="N29" i="4"/>
  <c r="N27" i="4"/>
  <c r="M30" i="4"/>
  <c r="N30" i="4" s="1"/>
  <c r="P30" i="4" s="1"/>
  <c r="D16" i="4" s="1"/>
  <c r="P27" i="4"/>
  <c r="D10" i="7"/>
  <c r="D8" i="7"/>
  <c r="D6" i="7"/>
  <c r="P14" i="12"/>
  <c r="W38" i="12"/>
  <c r="W35" i="12"/>
  <c r="W34" i="12" s="1"/>
  <c r="W42" i="12" s="1"/>
  <c r="G98" i="12"/>
  <c r="X23" i="12"/>
  <c r="Y10" i="12"/>
  <c r="H94" i="12"/>
  <c r="P32" i="12"/>
  <c r="P31" i="12"/>
  <c r="P33" i="12" s="1"/>
  <c r="H17" i="12"/>
  <c r="E17" i="12"/>
  <c r="H20" i="12"/>
  <c r="D25" i="4"/>
  <c r="E25" i="4"/>
  <c r="F25" i="4"/>
  <c r="G25" i="4"/>
  <c r="H25" i="4"/>
  <c r="C25" i="4"/>
  <c r="D22" i="4"/>
  <c r="E22" i="4"/>
  <c r="F22" i="4"/>
  <c r="G22" i="4"/>
  <c r="H22" i="4"/>
  <c r="C22" i="4"/>
  <c r="D19" i="4"/>
  <c r="C19" i="4"/>
  <c r="C20" i="4" s="1"/>
  <c r="C18" i="4"/>
  <c r="M29" i="4"/>
  <c r="L24" i="4"/>
  <c r="N28" i="4"/>
  <c r="P29" i="4"/>
  <c r="E15" i="4"/>
  <c r="G7" i="17"/>
  <c r="G8" i="17" s="1"/>
  <c r="D14" i="7"/>
  <c r="E14" i="7" s="1"/>
  <c r="F14" i="7" s="1"/>
  <c r="G14" i="7" s="1"/>
  <c r="H14" i="7" s="1"/>
  <c r="C14" i="7"/>
  <c r="D9" i="7"/>
  <c r="E9" i="7"/>
  <c r="F9" i="7"/>
  <c r="G9" i="7"/>
  <c r="H9" i="7"/>
  <c r="F7" i="17"/>
  <c r="E7" i="4"/>
  <c r="F7" i="4"/>
  <c r="G7" i="4"/>
  <c r="G9" i="4" s="1"/>
  <c r="H7" i="4"/>
  <c r="H9" i="4" s="1"/>
  <c r="D9" i="4"/>
  <c r="E9" i="4"/>
  <c r="F9" i="4"/>
  <c r="C7" i="4"/>
  <c r="C9" i="4" s="1"/>
  <c r="J10" i="17"/>
  <c r="H9" i="17"/>
  <c r="H10" i="17" s="1"/>
  <c r="I9" i="17"/>
  <c r="I10" i="17" s="1"/>
  <c r="J9" i="17"/>
  <c r="H8" i="17"/>
  <c r="I8" i="17"/>
  <c r="J8" i="17"/>
  <c r="K8" i="17"/>
  <c r="K9" i="17" s="1"/>
  <c r="K10" i="17" s="1"/>
  <c r="F8" i="17"/>
  <c r="F9" i="17" s="1"/>
  <c r="T26" i="7"/>
  <c r="U27" i="7"/>
  <c r="U28" i="7" s="1"/>
  <c r="U30" i="7" s="1"/>
  <c r="U26" i="7"/>
  <c r="C5" i="7"/>
  <c r="C7" i="7" s="1"/>
  <c r="C8" i="7" s="1"/>
  <c r="T27" i="7"/>
  <c r="T28" i="7" s="1"/>
  <c r="D5" i="7"/>
  <c r="D7" i="7" s="1"/>
  <c r="AH19" i="7"/>
  <c r="AH20" i="7"/>
  <c r="AH12" i="7"/>
  <c r="V6" i="7"/>
  <c r="E5" i="7"/>
  <c r="E7" i="7" s="1"/>
  <c r="E8" i="7" s="1"/>
  <c r="F5" i="7"/>
  <c r="F7" i="7" s="1"/>
  <c r="F8" i="7" s="1"/>
  <c r="G5" i="7"/>
  <c r="G7" i="7" s="1"/>
  <c r="G8" i="7" s="1"/>
  <c r="H5" i="7"/>
  <c r="H7" i="7" s="1"/>
  <c r="H8" i="7" s="1"/>
  <c r="H15" i="4"/>
  <c r="G15" i="4"/>
  <c r="F15" i="4"/>
  <c r="D7" i="4"/>
  <c r="D5" i="14"/>
  <c r="L23" i="4" s="1"/>
  <c r="P21" i="4"/>
  <c r="P14" i="4"/>
  <c r="P15" i="4" s="1"/>
  <c r="P8" i="4"/>
  <c r="M21" i="4"/>
  <c r="F57" i="26" l="1"/>
  <c r="F59" i="26" s="1"/>
  <c r="F60" i="26" s="1"/>
  <c r="N4" i="26" s="1"/>
  <c r="N6" i="26" s="1"/>
  <c r="L16" i="23"/>
  <c r="T16" i="23"/>
  <c r="T18" i="23" s="1"/>
  <c r="F35" i="23"/>
  <c r="F37" i="23" s="1"/>
  <c r="F38" i="23" s="1"/>
  <c r="E40" i="23"/>
  <c r="H33" i="23"/>
  <c r="H35" i="23" s="1"/>
  <c r="H37" i="23" s="1"/>
  <c r="H38" i="23" s="1"/>
  <c r="H15" i="23"/>
  <c r="H17" i="23" s="1"/>
  <c r="H19" i="23" s="1"/>
  <c r="G46" i="23" s="1"/>
  <c r="G35" i="23"/>
  <c r="G37" i="23" s="1"/>
  <c r="G38" i="23" s="1"/>
  <c r="E16" i="4"/>
  <c r="W43" i="12"/>
  <c r="W45" i="12" s="1"/>
  <c r="F10" i="17"/>
  <c r="T30" i="7"/>
  <c r="AH21" i="7"/>
  <c r="P16" i="4"/>
  <c r="P28" i="4"/>
  <c r="N8" i="26" l="1"/>
  <c r="N7" i="26"/>
  <c r="O8" i="26"/>
  <c r="F40" i="23"/>
  <c r="F41" i="23" s="1"/>
  <c r="F43" i="23" s="1"/>
  <c r="E47" i="23" s="1"/>
  <c r="E48" i="23" s="1"/>
  <c r="E49" i="23" s="1"/>
  <c r="E41" i="23"/>
  <c r="E43" i="23" s="1"/>
  <c r="D47" i="23" s="1"/>
  <c r="D48" i="23" s="1"/>
  <c r="D49" i="23" s="1"/>
  <c r="H40" i="23"/>
  <c r="G40" i="23"/>
  <c r="D18" i="4"/>
  <c r="D20" i="4" s="1"/>
  <c r="M6" i="7"/>
  <c r="N6" i="7"/>
  <c r="O6" i="7"/>
  <c r="P6" i="7"/>
  <c r="Q6" i="7"/>
  <c r="R6" i="7"/>
  <c r="S6" i="7"/>
  <c r="T6" i="7"/>
  <c r="U6" i="7"/>
  <c r="L6" i="7"/>
  <c r="M12" i="7"/>
  <c r="N12" i="7"/>
  <c r="O12" i="7"/>
  <c r="P12" i="7"/>
  <c r="Q12" i="7"/>
  <c r="R12" i="7"/>
  <c r="S12" i="7"/>
  <c r="M27" i="7"/>
  <c r="N27" i="7"/>
  <c r="O27" i="7"/>
  <c r="P27" i="7"/>
  <c r="Q27" i="7"/>
  <c r="R27" i="7"/>
  <c r="S27" i="7"/>
  <c r="S28" i="7" s="1"/>
  <c r="L27" i="7"/>
  <c r="L28" i="7" s="1"/>
  <c r="L30" i="7" s="1"/>
  <c r="M26" i="7"/>
  <c r="N26" i="7"/>
  <c r="O26" i="7"/>
  <c r="P26" i="7"/>
  <c r="Q26" i="7"/>
  <c r="R26" i="7"/>
  <c r="S26" i="7"/>
  <c r="L26" i="7"/>
  <c r="K10" i="26" l="1"/>
  <c r="K12" i="26" s="1"/>
  <c r="G41" i="23"/>
  <c r="G43" i="23" s="1"/>
  <c r="F47" i="23" s="1"/>
  <c r="F48" i="23" s="1"/>
  <c r="F49" i="23" s="1"/>
  <c r="D51" i="23"/>
  <c r="D53" i="23"/>
  <c r="E53" i="23"/>
  <c r="E51" i="23"/>
  <c r="H41" i="23"/>
  <c r="H43" i="23" s="1"/>
  <c r="D18" i="7"/>
  <c r="E18" i="7"/>
  <c r="F18" i="7"/>
  <c r="G18" i="7"/>
  <c r="H18" i="7"/>
  <c r="F16" i="4"/>
  <c r="E18" i="4"/>
  <c r="E20" i="4" s="1"/>
  <c r="P28" i="7"/>
  <c r="P30" i="7" s="1"/>
  <c r="Q28" i="7"/>
  <c r="Q30" i="7" s="1"/>
  <c r="S30" i="7"/>
  <c r="M28" i="7"/>
  <c r="M30" i="7" s="1"/>
  <c r="R28" i="7"/>
  <c r="R30" i="7" s="1"/>
  <c r="N28" i="7"/>
  <c r="N30" i="7" s="1"/>
  <c r="O28" i="7"/>
  <c r="O30" i="7" s="1"/>
  <c r="L16" i="26" l="1"/>
  <c r="L20" i="26" s="1"/>
  <c r="E54" i="23"/>
  <c r="E56" i="23" s="1"/>
  <c r="E57" i="23" s="1"/>
  <c r="E59" i="23" s="1"/>
  <c r="E60" i="23" s="1"/>
  <c r="V16" i="23" s="1"/>
  <c r="V18" i="23" s="1"/>
  <c r="V19" i="23" s="1"/>
  <c r="D54" i="23"/>
  <c r="D56" i="23" s="1"/>
  <c r="D57" i="23" s="1"/>
  <c r="D59" i="23" s="1"/>
  <c r="D60" i="23" s="1"/>
  <c r="U16" i="23" s="1"/>
  <c r="U18" i="23" s="1"/>
  <c r="F53" i="23"/>
  <c r="F51" i="23"/>
  <c r="G47" i="23"/>
  <c r="G48" i="23" s="1"/>
  <c r="G49" i="23" s="1"/>
  <c r="E23" i="4"/>
  <c r="E21" i="4"/>
  <c r="D26" i="4"/>
  <c r="G16" i="4"/>
  <c r="F18" i="4"/>
  <c r="F20" i="4" s="1"/>
  <c r="M20" i="7"/>
  <c r="N20" i="7"/>
  <c r="O20" i="7"/>
  <c r="P20" i="7"/>
  <c r="Q20" i="7"/>
  <c r="R20" i="7"/>
  <c r="S20" i="7"/>
  <c r="T20" i="7"/>
  <c r="U20" i="7"/>
  <c r="V20" i="7"/>
  <c r="W20" i="7"/>
  <c r="X20" i="7"/>
  <c r="Y20" i="7"/>
  <c r="Z20" i="7"/>
  <c r="AA20" i="7"/>
  <c r="AB20" i="7"/>
  <c r="AC20" i="7"/>
  <c r="AD20" i="7"/>
  <c r="AE20" i="7"/>
  <c r="AF20" i="7"/>
  <c r="AG20" i="7"/>
  <c r="N19" i="7"/>
  <c r="O19" i="7"/>
  <c r="P19" i="7"/>
  <c r="Q19" i="7"/>
  <c r="R19" i="7"/>
  <c r="S19" i="7"/>
  <c r="T19" i="7"/>
  <c r="U19" i="7"/>
  <c r="V19" i="7"/>
  <c r="W19" i="7"/>
  <c r="X19" i="7"/>
  <c r="Y19" i="7"/>
  <c r="Z19" i="7"/>
  <c r="AA19" i="7"/>
  <c r="AB19" i="7"/>
  <c r="AC19" i="7"/>
  <c r="AD19" i="7"/>
  <c r="AE19" i="7"/>
  <c r="AF19" i="7"/>
  <c r="AG19" i="7"/>
  <c r="M19" i="7"/>
  <c r="U45" i="12"/>
  <c r="T45" i="12"/>
  <c r="V39" i="12"/>
  <c r="V40" i="12"/>
  <c r="U42" i="12"/>
  <c r="T42" i="12"/>
  <c r="U34" i="12"/>
  <c r="V34" i="12"/>
  <c r="V42" i="12" s="1"/>
  <c r="T34" i="12"/>
  <c r="D17" i="12"/>
  <c r="F17" i="12"/>
  <c r="G17" i="12"/>
  <c r="C17" i="12"/>
  <c r="U23" i="12"/>
  <c r="V23" i="12"/>
  <c r="W23" i="12"/>
  <c r="T23" i="12"/>
  <c r="U10" i="12"/>
  <c r="V10" i="12"/>
  <c r="W10" i="12"/>
  <c r="X10" i="12"/>
  <c r="T10" i="12"/>
  <c r="L33" i="12"/>
  <c r="M33" i="12"/>
  <c r="N33" i="12"/>
  <c r="O33" i="12"/>
  <c r="K33" i="12"/>
  <c r="Y5" i="26" l="1"/>
  <c r="S5" i="26"/>
  <c r="V5" i="26"/>
  <c r="U20" i="23"/>
  <c r="U19" i="23"/>
  <c r="V20" i="23"/>
  <c r="F54" i="23"/>
  <c r="F56" i="23" s="1"/>
  <c r="F57" i="23" s="1"/>
  <c r="F59" i="23" s="1"/>
  <c r="F60" i="23" s="1"/>
  <c r="W16" i="23" s="1"/>
  <c r="W18" i="23" s="1"/>
  <c r="G51" i="23"/>
  <c r="G53" i="23"/>
  <c r="F23" i="4"/>
  <c r="F21" i="4"/>
  <c r="E24" i="4"/>
  <c r="E26" i="4" s="1"/>
  <c r="E7" i="18" s="1"/>
  <c r="H16" i="4"/>
  <c r="H18" i="4" s="1"/>
  <c r="H20" i="4" s="1"/>
  <c r="G18" i="4"/>
  <c r="G20" i="4" s="1"/>
  <c r="R21" i="7"/>
  <c r="AA21" i="7"/>
  <c r="N21" i="7"/>
  <c r="AD21" i="7"/>
  <c r="T21" i="7"/>
  <c r="AB21" i="7"/>
  <c r="S21" i="7"/>
  <c r="V21" i="7"/>
  <c r="Z21" i="7"/>
  <c r="W21" i="7"/>
  <c r="AE21" i="7"/>
  <c r="M21" i="7"/>
  <c r="AC21" i="7"/>
  <c r="X21" i="7"/>
  <c r="AF21" i="7"/>
  <c r="O21" i="7"/>
  <c r="U21" i="7"/>
  <c r="P21" i="7"/>
  <c r="Q21" i="7"/>
  <c r="Y21" i="7"/>
  <c r="AG21" i="7"/>
  <c r="V43" i="12"/>
  <c r="V45" i="12" s="1"/>
  <c r="W20" i="23" l="1"/>
  <c r="W19" i="23"/>
  <c r="G54" i="23"/>
  <c r="G56" i="23" s="1"/>
  <c r="G57" i="23" s="1"/>
  <c r="G59" i="23" s="1"/>
  <c r="G60" i="23" s="1"/>
  <c r="X16" i="23" s="1"/>
  <c r="X18" i="23" s="1"/>
  <c r="F24" i="4"/>
  <c r="G23" i="4"/>
  <c r="G21" i="4"/>
  <c r="H21" i="4"/>
  <c r="H23" i="4"/>
  <c r="F26" i="4"/>
  <c r="F7" i="18" s="1"/>
  <c r="C16" i="7"/>
  <c r="H16" i="7"/>
  <c r="D16" i="7"/>
  <c r="E16" i="7"/>
  <c r="F16" i="7"/>
  <c r="G16" i="7"/>
  <c r="G20" i="12"/>
  <c r="F20" i="12"/>
  <c r="E20" i="12"/>
  <c r="D20" i="12"/>
  <c r="C20" i="12"/>
  <c r="X20" i="23" l="1"/>
  <c r="T22" i="23" s="1"/>
  <c r="T24" i="23" s="1"/>
  <c r="O22" i="23" s="1"/>
  <c r="O26" i="23" s="1"/>
  <c r="X19" i="23"/>
  <c r="H24" i="4"/>
  <c r="G24" i="4"/>
  <c r="G26" i="4" s="1"/>
  <c r="G7" i="18" s="1"/>
  <c r="H26" i="4"/>
  <c r="H7" i="18" s="1"/>
  <c r="N21" i="4"/>
  <c r="O21" i="4"/>
  <c r="O15" i="4"/>
  <c r="O16" i="4" s="1"/>
  <c r="N15" i="4"/>
  <c r="M15" i="4"/>
  <c r="O29" i="23" l="1"/>
  <c r="M16" i="4"/>
  <c r="G10" i="4"/>
  <c r="D10" i="4"/>
  <c r="E10" i="4"/>
  <c r="F10" i="4"/>
  <c r="H10" i="4"/>
  <c r="N16" i="4"/>
  <c r="T12" i="7"/>
  <c r="U12" i="7"/>
  <c r="V12" i="7"/>
  <c r="W12" i="7"/>
  <c r="X12" i="7"/>
  <c r="Y12" i="7"/>
  <c r="Z12" i="7"/>
  <c r="AA12" i="7"/>
  <c r="AB12" i="7"/>
  <c r="AC12" i="7"/>
  <c r="AD12" i="7"/>
  <c r="AE12" i="7"/>
  <c r="AF12" i="7"/>
  <c r="AG12" i="7"/>
  <c r="H11" i="4" l="1"/>
  <c r="H12" i="4"/>
  <c r="H13" i="4" s="1"/>
  <c r="E11" i="4"/>
  <c r="E12" i="4"/>
  <c r="E13" i="4" s="1"/>
  <c r="F11" i="4"/>
  <c r="F12" i="4"/>
  <c r="F13" i="4" s="1"/>
  <c r="G11" i="4"/>
  <c r="G12" i="4"/>
  <c r="G13" i="4" s="1"/>
  <c r="C12" i="4"/>
  <c r="C13" i="4" s="1"/>
  <c r="C24" i="4" s="1"/>
  <c r="C26" i="4" s="1"/>
  <c r="C11" i="4"/>
  <c r="D11" i="4"/>
  <c r="D12" i="4"/>
  <c r="D13" i="4" s="1"/>
  <c r="H10" i="7"/>
  <c r="G10" i="7"/>
  <c r="E10" i="7"/>
  <c r="F10" i="7"/>
  <c r="F12" i="7" l="1"/>
  <c r="F15" i="7" s="1"/>
  <c r="F17" i="7" s="1"/>
  <c r="F19" i="7" s="1"/>
  <c r="F8" i="18" s="1"/>
  <c r="E12" i="7"/>
  <c r="E15" i="7" s="1"/>
  <c r="E17" i="7" s="1"/>
  <c r="E19" i="7" s="1"/>
  <c r="E8" i="18" s="1"/>
  <c r="D12" i="7"/>
  <c r="D17" i="7"/>
  <c r="D19" i="7" s="1"/>
  <c r="C17" i="7"/>
  <c r="C19" i="7" s="1"/>
  <c r="G12" i="7"/>
  <c r="G15" i="7" s="1"/>
  <c r="G17" i="7" s="1"/>
  <c r="G19" i="7" s="1"/>
  <c r="G8" i="18" s="1"/>
  <c r="H12" i="7"/>
  <c r="H15" i="7" s="1"/>
  <c r="H17" i="7" s="1"/>
  <c r="H19" i="7" s="1"/>
  <c r="H8" i="18" s="1"/>
  <c r="H9" i="18" l="1"/>
  <c r="H11" i="18" s="1"/>
  <c r="H13" i="18"/>
  <c r="G9" i="18"/>
  <c r="G11" i="18" s="1"/>
  <c r="G13" i="18"/>
  <c r="F13" i="18"/>
  <c r="F9" i="18"/>
  <c r="F11" i="18" s="1"/>
  <c r="E13" i="18"/>
  <c r="E9" i="18"/>
  <c r="E11" i="18" s="1"/>
  <c r="E14" i="18" s="1"/>
  <c r="E16" i="18" s="1"/>
  <c r="E17" i="18" s="1"/>
  <c r="E19" i="18" s="1"/>
  <c r="E20" i="18" s="1"/>
  <c r="G6" i="22" s="1"/>
  <c r="G8" i="22" s="1"/>
  <c r="G14" i="18" l="1"/>
  <c r="G16" i="18" s="1"/>
  <c r="G17" i="18" s="1"/>
  <c r="G19" i="18" s="1"/>
  <c r="G20" i="18" s="1"/>
  <c r="I6" i="22" s="1"/>
  <c r="I8" i="22" s="1"/>
  <c r="H14" i="18"/>
  <c r="H16" i="18" s="1"/>
  <c r="H17" i="18" s="1"/>
  <c r="H19" i="18" s="1"/>
  <c r="H20" i="18" s="1"/>
  <c r="J6" i="22" s="1"/>
  <c r="J8" i="22" s="1"/>
  <c r="F14" i="18"/>
  <c r="F16" i="18" s="1"/>
  <c r="F17" i="18" s="1"/>
  <c r="F19" i="18" s="1"/>
  <c r="F20" i="18" s="1"/>
  <c r="H6" i="22" s="1"/>
  <c r="H8" i="22" s="1"/>
  <c r="G9" i="22"/>
  <c r="I9" i="22" l="1"/>
  <c r="J9" i="22"/>
  <c r="H9" i="22"/>
  <c r="F11" i="22" s="1"/>
  <c r="F13" i="22" s="1"/>
</calcChain>
</file>

<file path=xl/sharedStrings.xml><?xml version="1.0" encoding="utf-8"?>
<sst xmlns="http://schemas.openxmlformats.org/spreadsheetml/2006/main" count="2575" uniqueCount="1021">
  <si>
    <t>میعانات گازی</t>
  </si>
  <si>
    <t>نفت خام</t>
  </si>
  <si>
    <t>بهای تمام شده</t>
  </si>
  <si>
    <t>فروش</t>
  </si>
  <si>
    <t>نفت گاز</t>
  </si>
  <si>
    <t>% نفت گاز در بشکه فراورده</t>
  </si>
  <si>
    <t>درصد نفت گاز</t>
  </si>
  <si>
    <t>کل تولید</t>
  </si>
  <si>
    <t>متر مکعب</t>
  </si>
  <si>
    <t>مبلغ فروش نفت گاز (دلاری)</t>
  </si>
  <si>
    <t>درصد فروش به تولید</t>
  </si>
  <si>
    <t>متر مکعب / ریال</t>
  </si>
  <si>
    <t>فروش نفت گاز</t>
  </si>
  <si>
    <t xml:space="preserve"> تولید نفت گاز</t>
  </si>
  <si>
    <t>مبلغ کل تولید نفت گاز</t>
  </si>
  <si>
    <t>مبلغ کل فروش نفت گاز</t>
  </si>
  <si>
    <t>قیمت هر مترمکب نفت گاز (دلار)</t>
  </si>
  <si>
    <t>تخمین فروش</t>
  </si>
  <si>
    <t>ضریب تخفیف پالایشگاه</t>
  </si>
  <si>
    <t>مواد مستقیم مصرفی</t>
  </si>
  <si>
    <t>دوازده ماهه منتهی به 1397/12</t>
  </si>
  <si>
    <t>دوازده ماهه منتهی به 1398/12</t>
  </si>
  <si>
    <t>دوازده ماهه منتهی به 1399/12</t>
  </si>
  <si>
    <t>-</t>
  </si>
  <si>
    <t>جمع بهای تمام شده</t>
  </si>
  <si>
    <t>نسبت بهای تمام شده به مواد مستقیم مصرفی %</t>
  </si>
  <si>
    <t>سایر هزینه ها</t>
  </si>
  <si>
    <t>هزینه مطالبات مشکوک الوصول</t>
  </si>
  <si>
    <t>هزینه حقوق و دستمزد</t>
  </si>
  <si>
    <t>هزینه استهلاک</t>
  </si>
  <si>
    <t>هزینه انرژی (آب، برق، گاز و سوخت)</t>
  </si>
  <si>
    <t>هزینه مواد مصرفی</t>
  </si>
  <si>
    <t>هزینه تبلیغات</t>
  </si>
  <si>
    <t>حق العمل و کمیسیون فروش</t>
  </si>
  <si>
    <t>هزینه خدمات پس از فروش</t>
  </si>
  <si>
    <t>هزینه حمل و نقل و انتقال</t>
  </si>
  <si>
    <t>بشکه</t>
  </si>
  <si>
    <t>بشکه / ریال</t>
  </si>
  <si>
    <t>نرخ خرید طی دوره</t>
  </si>
  <si>
    <t>مقدار مصرف طی دوره</t>
  </si>
  <si>
    <t>بهای تمام شده کالای فروش رفته</t>
  </si>
  <si>
    <t>شبندر-پالایش نفت بندرعباس</t>
  </si>
  <si>
    <t>Copyright @2015 - 2022</t>
  </si>
  <si>
    <t>Pouya Finance</t>
  </si>
  <si>
    <t>مقدار</t>
  </si>
  <si>
    <t>تاریخ شمسی</t>
  </si>
  <si>
    <t>تاریخ میلادی</t>
  </si>
  <si>
    <t>ضریب استفاده از نفت خام</t>
  </si>
  <si>
    <t>ضریب استفاده میعانات گازی</t>
  </si>
  <si>
    <t>درصد مصرف نفت خام به کل مصرف</t>
  </si>
  <si>
    <t>درصد استفاده میعانات گازی به کل</t>
  </si>
  <si>
    <t>نسبت قیمت میعانات گازی به نفت خام</t>
  </si>
  <si>
    <t>دوره مالی</t>
  </si>
  <si>
    <t>Income Statements</t>
  </si>
  <si>
    <t>سود (زیان) ناخالص</t>
  </si>
  <si>
    <t>هزینه های عمومی, اداری و تشکیلاتی</t>
  </si>
  <si>
    <t>خالص سایر درامدها (هزینه ها) ی عملیاتی</t>
  </si>
  <si>
    <t>سود (زیان) عملیاتی</t>
  </si>
  <si>
    <t>هزینه های مالی</t>
  </si>
  <si>
    <t>خالص سایر درامدها و هزینه های غیرعملیاتی</t>
  </si>
  <si>
    <t>سود (زیان) خالص عملیات در حال تداوم قبل از مالیات</t>
  </si>
  <si>
    <t>مالیات</t>
  </si>
  <si>
    <t>سود (زیان) خالص عملیات در حال تداوم</t>
  </si>
  <si>
    <t>سود (زیان) عملیات متوقف شده پس از اثر مالیاتی</t>
  </si>
  <si>
    <t>سود (زیان) خالص</t>
  </si>
  <si>
    <t>سود هر سهم پس از کسر مالیات</t>
  </si>
  <si>
    <t>سرمایه</t>
  </si>
  <si>
    <t>سود هر سهم بر اساس آخرین سرمایه</t>
  </si>
  <si>
    <t>درصد مالیات</t>
  </si>
  <si>
    <t>دور مالی</t>
  </si>
  <si>
    <t>هزینه مالی گزارش شده</t>
  </si>
  <si>
    <t>فروش صادراتی</t>
  </si>
  <si>
    <t>هزینه های عمومی و اداری</t>
  </si>
  <si>
    <t>دوازده ماهه منتهی به 1396/12</t>
  </si>
  <si>
    <t>تعداد پرسنل</t>
  </si>
  <si>
    <t>تعداد پرسنل غیر تولیدی شرکت</t>
  </si>
  <si>
    <t>تعداد پرسنل تولیدی شرکت</t>
  </si>
  <si>
    <t>نسبت صادراتی</t>
  </si>
  <si>
    <t>هزینه مالی اصلاحی</t>
  </si>
  <si>
    <t>نسبت هزینه های عمومی به سود ناخالص</t>
  </si>
  <si>
    <t>دریافت بهای آب و برق مصرفی از شرکت‌های هم‌جوار</t>
  </si>
  <si>
    <t>درآمد حاصل از فروش یوتیلیتی به شرکت‌های هم‌جوار</t>
  </si>
  <si>
    <t>سایر</t>
  </si>
  <si>
    <t>سایر درآمدها</t>
  </si>
  <si>
    <t>سایر درآمدهای عملیاتی</t>
  </si>
  <si>
    <t>تعدیل نفت‌خام و میعانات‌گازی</t>
  </si>
  <si>
    <t>خالص تعدیل فروش مصوب، مابه‌التفاوت، هزینه‌های انتقال و توزیع فروش</t>
  </si>
  <si>
    <t>تعدیل درآمد فروش صادراتی سال 1398</t>
  </si>
  <si>
    <t>سایر درآمد‌های عملیاتی(برگشت ذخیره کاهش ارزش موجودی فرآورده‌ها</t>
  </si>
  <si>
    <t>تعدیل درآمد فروش صادراتی سال 1397</t>
  </si>
  <si>
    <t>سایر هزینه‌های عملیاتی</t>
  </si>
  <si>
    <t>سایر هزینه‌های عملیاتی (تسعیر ارز بدهی بابت سوخت نفت‌کش‌ها)</t>
  </si>
  <si>
    <t>سایر هزینه‌های عملیاتی(نفتای الوده سال 1398/برگشت از نفت ستاره خلیج فارس)</t>
  </si>
  <si>
    <t>زیان کاهش ارزش تولید</t>
  </si>
  <si>
    <t>سایر درآمدها و هزینه‌های غیرعملیاتی - درآمد سرمایه‌گذاری‌ها</t>
  </si>
  <si>
    <t>سودسهام و سرمایه گذاری</t>
  </si>
  <si>
    <t>سود سپرده های بانکی</t>
  </si>
  <si>
    <t>سایر درآمدها و هزینه‌های غیرعملیاتی - اقلام متفرقه</t>
  </si>
  <si>
    <t>سایردرآمد/هزینه ها</t>
  </si>
  <si>
    <t>درآمدحاصل از بارگیری و توزین</t>
  </si>
  <si>
    <t>درآمدحاصل از اجاره</t>
  </si>
  <si>
    <t>خدمات آزمایشگاهی</t>
  </si>
  <si>
    <t>سایر درآمدها و هزینه غیر عملیاتی</t>
  </si>
  <si>
    <t>سود سپره های بانکی</t>
  </si>
  <si>
    <t>سود حاصل از سرمایه گذاری کوتاه مدت</t>
  </si>
  <si>
    <t>کارمزد فروش اعتباری</t>
  </si>
  <si>
    <t>سود حاصل از تسعیر نرخ ارز</t>
  </si>
  <si>
    <t>کل درآمدها و هزینه های غیرعملیاتی</t>
  </si>
  <si>
    <t>تعدیل سایر درآمدها و هزینه غیر عملیاتی</t>
  </si>
  <si>
    <t>سود و زیان ناخالص</t>
  </si>
  <si>
    <t>کل سایر درآمد و هزینه عملیاتی</t>
  </si>
  <si>
    <t>هزینه های عمومی، اداری</t>
  </si>
  <si>
    <t>میانگین سه ساله اخیر نسبت هزینه های عمومی به سود ناخالص</t>
  </si>
  <si>
    <t>خالص سایر درآمدهای عملیاتی</t>
  </si>
  <si>
    <t>سایر درآمدها و هزینه عملیاتی تعدیل شده</t>
  </si>
  <si>
    <t>میانگین 5 ساله اخیر</t>
  </si>
  <si>
    <t>خالص سایر درآمدهای غیرعملیاتی</t>
  </si>
  <si>
    <t>میانگین نسبت سایردرآمدهای غیرعملیاتی به سود ناخالص</t>
  </si>
  <si>
    <t>فرض مبنا</t>
  </si>
  <si>
    <t>نسبت فروش به تولید نفت - گاز</t>
  </si>
  <si>
    <t>%</t>
  </si>
  <si>
    <t>میلیارد ریال</t>
  </si>
  <si>
    <t>سرفصل</t>
  </si>
  <si>
    <t>جدول فرضیات</t>
  </si>
  <si>
    <t>مترمکعب</t>
  </si>
  <si>
    <t>متوسط تولید (روزانه - هزار م مکعب)</t>
  </si>
  <si>
    <t>ظرفیت اسمی روزانه (بشکه)</t>
  </si>
  <si>
    <t>درصد عملی شدن ظرفیت</t>
  </si>
  <si>
    <t>ظرفیت اسمی روزانه (هزار بشکه)</t>
  </si>
  <si>
    <t>متوسط تولید روزانه (هزار بشکه)</t>
  </si>
  <si>
    <t>کل تولید (سالانه، مترمکعب)</t>
  </si>
  <si>
    <t>کل تولید سالانه (هزار بشکه)</t>
  </si>
  <si>
    <t>آخرین ظرفیت اسمی پالایشگاه</t>
  </si>
  <si>
    <t>معکوس روند 3 سال اخیر</t>
  </si>
  <si>
    <t>دلایل فرض</t>
  </si>
  <si>
    <t>عدم برنامه شرکت برای توسعه ظرفیت</t>
  </si>
  <si>
    <t>براساس افزایش تقاضای فراورده ها بعد از کرونا و گشایش تحریم</t>
  </si>
  <si>
    <t>ظرفیت اسمی سالانه (بشکه)</t>
  </si>
  <si>
    <t>درصد ظرفیت عملی</t>
  </si>
  <si>
    <t>درصد نفت گاز در هر بشکه خروجی</t>
  </si>
  <si>
    <t xml:space="preserve">کل بشکه خوراک پالایش شده </t>
  </si>
  <si>
    <t xml:space="preserve">کل م مکعب خوراک پالایش شده </t>
  </si>
  <si>
    <t>کل نفت گاز تولیدی (مترمکعب)</t>
  </si>
  <si>
    <t>هر بشکه فراورده خروجی معادل هر بشکه خوراک ورودی فرض گرفته شده است.</t>
  </si>
  <si>
    <t>درصد نفت گاز در هر بشکه فراورده</t>
  </si>
  <si>
    <t xml:space="preserve">متوسط درصد 7 سال اخیر </t>
  </si>
  <si>
    <t>آخرین فاز بهینه سازی از سال 92 است.</t>
  </si>
  <si>
    <t>متوسط قیمت دلار نیمایی</t>
  </si>
  <si>
    <t>پیش بینی دلاری م مکعب نفت-گاز</t>
  </si>
  <si>
    <t>درصد فروش نفت-گاز به کل فروش</t>
  </si>
  <si>
    <t>کل مبلغ فروش (سالانه)</t>
  </si>
  <si>
    <t>کل مبلغ فروش نفت گاز (سالانه)</t>
  </si>
  <si>
    <t>درصد فروش نفت گاز از کل فروش</t>
  </si>
  <si>
    <t>نسبت مبلغ فروش نفت گاز به مبلغ تولید نفت گاز</t>
  </si>
  <si>
    <t>%مبلغ کل فروش نفت گاز به  مبلغ کل تولید نفت گاز</t>
  </si>
  <si>
    <t>درصد فروش نفت گاز به کل مبلغ فروش</t>
  </si>
  <si>
    <t>تولید</t>
  </si>
  <si>
    <t>نوسان حول میانگین 10 ساله اخیر</t>
  </si>
  <si>
    <t xml:space="preserve"> روند درصد  باثبات مبلغ فروش نفت گاز در ده سال اخیر</t>
  </si>
  <si>
    <t>%مبلغ فروش نفت گاز به کل فروش</t>
  </si>
  <si>
    <r>
      <t xml:space="preserve">قیمت هر بشکه نفت خام </t>
    </r>
    <r>
      <rPr>
        <sz val="13"/>
        <color rgb="FFFF0000"/>
        <rFont val="B Nazanin"/>
        <charset val="178"/>
      </rPr>
      <t xml:space="preserve">شاخص </t>
    </r>
    <r>
      <rPr>
        <sz val="13"/>
        <color theme="1"/>
        <rFont val="B Nazanin"/>
        <charset val="178"/>
      </rPr>
      <t>(دلار)</t>
    </r>
  </si>
  <si>
    <t>پیش بینی کل مواد مستقیم مصرفی</t>
  </si>
  <si>
    <t>نسببت بهای تمام شده به کل مواد مستقیم مصرفی</t>
  </si>
  <si>
    <t>بهای تمام شده به مواد مستقیم مصرفی</t>
  </si>
  <si>
    <t>درصد تقسیم سود</t>
  </si>
  <si>
    <t>سود تقسیمی</t>
  </si>
  <si>
    <t>درصد استفاده از نفت خام در کل خوراک</t>
  </si>
  <si>
    <t>میانگین سه سال اخیر</t>
  </si>
  <si>
    <t>داده تفکیکی موجود تا سه سال گذشته در دسترس است</t>
  </si>
  <si>
    <t>نه ماهه 1400</t>
  </si>
  <si>
    <t>1400-09-30</t>
  </si>
  <si>
    <t>2021-12-21</t>
  </si>
  <si>
    <t>1400-09-29</t>
  </si>
  <si>
    <t>2021-12-20</t>
  </si>
  <si>
    <t>1400-09-28</t>
  </si>
  <si>
    <t>2021-12-19</t>
  </si>
  <si>
    <t>1400-09-27</t>
  </si>
  <si>
    <t>2021-12-18</t>
  </si>
  <si>
    <t>1400-09-25</t>
  </si>
  <si>
    <t>2021-12-16</t>
  </si>
  <si>
    <t>1400-09-24</t>
  </si>
  <si>
    <t>2021-12-15</t>
  </si>
  <si>
    <t>1400-09-23</t>
  </si>
  <si>
    <t>2021-12-14</t>
  </si>
  <si>
    <t>1400-09-22</t>
  </si>
  <si>
    <t>2021-12-13</t>
  </si>
  <si>
    <t>1400-09-21</t>
  </si>
  <si>
    <t>2021-12-12</t>
  </si>
  <si>
    <t>1400-09-20</t>
  </si>
  <si>
    <t>2021-12-11</t>
  </si>
  <si>
    <t>1400-09-18</t>
  </si>
  <si>
    <t>2021-12-09</t>
  </si>
  <si>
    <t>1400-09-17</t>
  </si>
  <si>
    <t>2021-12-08</t>
  </si>
  <si>
    <t>1400-09-16</t>
  </si>
  <si>
    <t>2021-12-07</t>
  </si>
  <si>
    <t>1400-09-15</t>
  </si>
  <si>
    <t>2021-12-06</t>
  </si>
  <si>
    <t>1400-09-14</t>
  </si>
  <si>
    <t>2021-12-05</t>
  </si>
  <si>
    <t>1400-09-13</t>
  </si>
  <si>
    <t>2021-12-04</t>
  </si>
  <si>
    <t>1400-09-11</t>
  </si>
  <si>
    <t>2021-12-02</t>
  </si>
  <si>
    <t>1400-09-10</t>
  </si>
  <si>
    <t>2021-12-01</t>
  </si>
  <si>
    <t>1400-09-09</t>
  </si>
  <si>
    <t>2021-11-30</t>
  </si>
  <si>
    <t>1400-09-08</t>
  </si>
  <si>
    <t>2021-11-29</t>
  </si>
  <si>
    <t>1400-09-07</t>
  </si>
  <si>
    <t>2021-11-28</t>
  </si>
  <si>
    <t>1400-09-06</t>
  </si>
  <si>
    <t>2021-11-27</t>
  </si>
  <si>
    <t>1400-09-04</t>
  </si>
  <si>
    <t>2021-11-25</t>
  </si>
  <si>
    <t>1400-09-03</t>
  </si>
  <si>
    <t>2021-11-24</t>
  </si>
  <si>
    <t>1400-09-02</t>
  </si>
  <si>
    <t>2021-11-23</t>
  </si>
  <si>
    <t>1400-09-01</t>
  </si>
  <si>
    <t>2021-11-22</t>
  </si>
  <si>
    <t>1400-08-30</t>
  </si>
  <si>
    <t>2021-11-21</t>
  </si>
  <si>
    <t>1400-08-29</t>
  </si>
  <si>
    <t>2021-11-20</t>
  </si>
  <si>
    <t>1400-08-27</t>
  </si>
  <si>
    <t>2021-11-18</t>
  </si>
  <si>
    <t>1400-08-26</t>
  </si>
  <si>
    <t>2021-11-17</t>
  </si>
  <si>
    <t>1400-08-25</t>
  </si>
  <si>
    <t>2021-11-16</t>
  </si>
  <si>
    <t>1400-08-24</t>
  </si>
  <si>
    <t>2021-11-15</t>
  </si>
  <si>
    <t>1400-08-23</t>
  </si>
  <si>
    <t>2021-11-14</t>
  </si>
  <si>
    <t>1400-08-22</t>
  </si>
  <si>
    <t>2021-11-13</t>
  </si>
  <si>
    <t>1400-08-20</t>
  </si>
  <si>
    <t>2021-11-11</t>
  </si>
  <si>
    <t>1400-08-19</t>
  </si>
  <si>
    <t>2021-11-10</t>
  </si>
  <si>
    <t>1400-08-18</t>
  </si>
  <si>
    <t>2021-11-09</t>
  </si>
  <si>
    <t>1400-08-17</t>
  </si>
  <si>
    <t>2021-11-08</t>
  </si>
  <si>
    <t>1400-08-16</t>
  </si>
  <si>
    <t>2021-11-07</t>
  </si>
  <si>
    <t>1400-08-15</t>
  </si>
  <si>
    <t>2021-11-06</t>
  </si>
  <si>
    <t>1400-08-13</t>
  </si>
  <si>
    <t>2021-11-04</t>
  </si>
  <si>
    <t>1400-08-12</t>
  </si>
  <si>
    <t>2021-11-03</t>
  </si>
  <si>
    <t>1400-08-11</t>
  </si>
  <si>
    <t>2021-11-02</t>
  </si>
  <si>
    <t>1400-08-10</t>
  </si>
  <si>
    <t>2021-11-01</t>
  </si>
  <si>
    <t>1400-08-09</t>
  </si>
  <si>
    <t>2021-10-31</t>
  </si>
  <si>
    <t>1400-08-08</t>
  </si>
  <si>
    <t>2021-10-30</t>
  </si>
  <si>
    <t>1400-08-06</t>
  </si>
  <si>
    <t>2021-10-28</t>
  </si>
  <si>
    <t>1400-08-05</t>
  </si>
  <si>
    <t>2021-10-27</t>
  </si>
  <si>
    <t>1400-08-04</t>
  </si>
  <si>
    <t>2021-10-26</t>
  </si>
  <si>
    <t>1400-08-03</t>
  </si>
  <si>
    <t>2021-10-25</t>
  </si>
  <si>
    <t>1400-08-01</t>
  </si>
  <si>
    <t>2021-10-23</t>
  </si>
  <si>
    <t>1400-07-29</t>
  </si>
  <si>
    <t>2021-10-21</t>
  </si>
  <si>
    <t>1400-07-28</t>
  </si>
  <si>
    <t>2021-10-20</t>
  </si>
  <si>
    <t>1400-07-27</t>
  </si>
  <si>
    <t>2021-10-19</t>
  </si>
  <si>
    <t>1400-07-26</t>
  </si>
  <si>
    <t>2021-10-18</t>
  </si>
  <si>
    <t>1400-07-25</t>
  </si>
  <si>
    <t>2021-10-17</t>
  </si>
  <si>
    <t>1400-07-24</t>
  </si>
  <si>
    <t>2021-10-16</t>
  </si>
  <si>
    <t>1400-07-22</t>
  </si>
  <si>
    <t>2021-10-14</t>
  </si>
  <si>
    <t>1400-07-21</t>
  </si>
  <si>
    <t>2021-10-13</t>
  </si>
  <si>
    <t>1400-07-20</t>
  </si>
  <si>
    <t>2021-10-12</t>
  </si>
  <si>
    <t>1400-07-19</t>
  </si>
  <si>
    <t>2021-10-11</t>
  </si>
  <si>
    <t>1400-07-18</t>
  </si>
  <si>
    <t>2021-10-10</t>
  </si>
  <si>
    <t>1400-07-17</t>
  </si>
  <si>
    <t>2021-10-09</t>
  </si>
  <si>
    <t>1400-07-15</t>
  </si>
  <si>
    <t>2021-10-07</t>
  </si>
  <si>
    <t>1400-07-14</t>
  </si>
  <si>
    <t>2021-10-06</t>
  </si>
  <si>
    <t>1400-07-12</t>
  </si>
  <si>
    <t>2021-10-04</t>
  </si>
  <si>
    <t>1400-07-11</t>
  </si>
  <si>
    <t>2021-10-03</t>
  </si>
  <si>
    <t>1400-07-10</t>
  </si>
  <si>
    <t>2021-10-02</t>
  </si>
  <si>
    <t>1400-07-08</t>
  </si>
  <si>
    <t>2021-09-30</t>
  </si>
  <si>
    <t>1400-07-07</t>
  </si>
  <si>
    <t>2021-09-29</t>
  </si>
  <si>
    <t>1400-07-06</t>
  </si>
  <si>
    <t>2021-09-28</t>
  </si>
  <si>
    <t>1400-07-04</t>
  </si>
  <si>
    <t>2021-09-26</t>
  </si>
  <si>
    <t>1400-07-03</t>
  </si>
  <si>
    <t>2021-09-25</t>
  </si>
  <si>
    <t>1400-07-01</t>
  </si>
  <si>
    <t>2021-09-23</t>
  </si>
  <si>
    <t>1400-06-31</t>
  </si>
  <si>
    <t>2021-09-22</t>
  </si>
  <si>
    <t>1400-06-30</t>
  </si>
  <si>
    <t>2021-09-21</t>
  </si>
  <si>
    <t>1400-06-29</t>
  </si>
  <si>
    <t>2021-09-20</t>
  </si>
  <si>
    <t>1400-06-28</t>
  </si>
  <si>
    <t>2021-09-19</t>
  </si>
  <si>
    <t>1400-06-27</t>
  </si>
  <si>
    <t>2021-09-18</t>
  </si>
  <si>
    <t>1400-06-25</t>
  </si>
  <si>
    <t>2021-09-16</t>
  </si>
  <si>
    <t>1400-06-24</t>
  </si>
  <si>
    <t>2021-09-15</t>
  </si>
  <si>
    <t>1400-06-23</t>
  </si>
  <si>
    <t>2021-09-14</t>
  </si>
  <si>
    <t>1400-06-22</t>
  </si>
  <si>
    <t>2021-09-13</t>
  </si>
  <si>
    <t>1400-06-21</t>
  </si>
  <si>
    <t>2021-09-12</t>
  </si>
  <si>
    <t>1400-06-20</t>
  </si>
  <si>
    <t>2021-09-11</t>
  </si>
  <si>
    <t>1400-06-18</t>
  </si>
  <si>
    <t>2021-09-09</t>
  </si>
  <si>
    <t>1400-06-17</t>
  </si>
  <si>
    <t>2021-09-08</t>
  </si>
  <si>
    <t>1400-06-16</t>
  </si>
  <si>
    <t>2021-09-07</t>
  </si>
  <si>
    <t>1400-06-15</t>
  </si>
  <si>
    <t>2021-09-06</t>
  </si>
  <si>
    <t>1400-06-14</t>
  </si>
  <si>
    <t>2021-09-05</t>
  </si>
  <si>
    <t>1400-06-13</t>
  </si>
  <si>
    <t>2021-09-04</t>
  </si>
  <si>
    <t>1400-06-11</t>
  </si>
  <si>
    <t>2021-09-02</t>
  </si>
  <si>
    <t>1400-06-10</t>
  </si>
  <si>
    <t>2021-09-01</t>
  </si>
  <si>
    <t>1400-06-09</t>
  </si>
  <si>
    <t>2021-08-31</t>
  </si>
  <si>
    <t>1400-06-08</t>
  </si>
  <si>
    <t>2021-08-30</t>
  </si>
  <si>
    <t>1400-06-07</t>
  </si>
  <si>
    <t>2021-08-29</t>
  </si>
  <si>
    <t>1400-06-06</t>
  </si>
  <si>
    <t>2021-08-28</t>
  </si>
  <si>
    <t>1400-06-04</t>
  </si>
  <si>
    <t>2021-08-26</t>
  </si>
  <si>
    <t>1400-06-03</t>
  </si>
  <si>
    <t>2021-08-25</t>
  </si>
  <si>
    <t>1400-06-02</t>
  </si>
  <si>
    <t>2021-08-24</t>
  </si>
  <si>
    <t>1400-06-01</t>
  </si>
  <si>
    <t>2021-08-23</t>
  </si>
  <si>
    <t>1400-05-31</t>
  </si>
  <si>
    <t>2021-08-22</t>
  </si>
  <si>
    <t>1400-05-28</t>
  </si>
  <si>
    <t>2021-08-19</t>
  </si>
  <si>
    <t>1400-05-24</t>
  </si>
  <si>
    <t>2021-08-15</t>
  </si>
  <si>
    <t>1400-05-23</t>
  </si>
  <si>
    <t>2021-08-14</t>
  </si>
  <si>
    <t>1400-05-21</t>
  </si>
  <si>
    <t>2021-08-12</t>
  </si>
  <si>
    <t>1400-05-20</t>
  </si>
  <si>
    <t>2021-08-11</t>
  </si>
  <si>
    <t>1400-05-19</t>
  </si>
  <si>
    <t>2021-08-10</t>
  </si>
  <si>
    <t>1400-05-18</t>
  </si>
  <si>
    <t>2021-08-09</t>
  </si>
  <si>
    <t>1400-05-17</t>
  </si>
  <si>
    <t>2021-08-08</t>
  </si>
  <si>
    <t>1400-05-16</t>
  </si>
  <si>
    <t>2021-08-07</t>
  </si>
  <si>
    <t>1400-05-14</t>
  </si>
  <si>
    <t>2021-08-05</t>
  </si>
  <si>
    <t>1400-05-13</t>
  </si>
  <si>
    <t>2021-08-04</t>
  </si>
  <si>
    <t>1400-05-12</t>
  </si>
  <si>
    <t>2021-08-03</t>
  </si>
  <si>
    <t>1400-05-11</t>
  </si>
  <si>
    <t>2021-08-02</t>
  </si>
  <si>
    <t>1400-05-10</t>
  </si>
  <si>
    <t>2021-08-01</t>
  </si>
  <si>
    <t>1400-05-09</t>
  </si>
  <si>
    <t>2021-07-31</t>
  </si>
  <si>
    <t>1400-05-07</t>
  </si>
  <si>
    <t>2021-07-29</t>
  </si>
  <si>
    <t>1400-05-06</t>
  </si>
  <si>
    <t>2021-07-28</t>
  </si>
  <si>
    <t>1400-05-05</t>
  </si>
  <si>
    <t>2021-07-27</t>
  </si>
  <si>
    <t>1400-05-04</t>
  </si>
  <si>
    <t>2021-07-26</t>
  </si>
  <si>
    <t>1400-04-31</t>
  </si>
  <si>
    <t>2021-07-22</t>
  </si>
  <si>
    <t>1400-04-28</t>
  </si>
  <si>
    <t>2021-07-19</t>
  </si>
  <si>
    <t>1400-04-27</t>
  </si>
  <si>
    <t>2021-07-18</t>
  </si>
  <si>
    <t>1400-04-26</t>
  </si>
  <si>
    <t>2021-07-17</t>
  </si>
  <si>
    <t>1400-04-24</t>
  </si>
  <si>
    <t>2021-07-15</t>
  </si>
  <si>
    <t>1400-04-23</t>
  </si>
  <si>
    <t>2021-07-14</t>
  </si>
  <si>
    <t>1400-04-22</t>
  </si>
  <si>
    <t>2021-07-13</t>
  </si>
  <si>
    <t>1400-04-21</t>
  </si>
  <si>
    <t>2021-07-12</t>
  </si>
  <si>
    <t>1400-04-20</t>
  </si>
  <si>
    <t>2021-07-11</t>
  </si>
  <si>
    <t>1400-04-19</t>
  </si>
  <si>
    <t>2021-07-10</t>
  </si>
  <si>
    <t>1400-04-17</t>
  </si>
  <si>
    <t>2021-07-08</t>
  </si>
  <si>
    <t>1400-04-16</t>
  </si>
  <si>
    <t>2021-07-07</t>
  </si>
  <si>
    <t>1400-04-15</t>
  </si>
  <si>
    <t>2021-07-06</t>
  </si>
  <si>
    <t>1400-04-14</t>
  </si>
  <si>
    <t>2021-07-05</t>
  </si>
  <si>
    <t>1400-04-13</t>
  </si>
  <si>
    <t>2021-07-04</t>
  </si>
  <si>
    <t>1400-04-12</t>
  </si>
  <si>
    <t>2021-07-03</t>
  </si>
  <si>
    <t>1400-04-10</t>
  </si>
  <si>
    <t>2021-07-01</t>
  </si>
  <si>
    <t>1400-04-09</t>
  </si>
  <si>
    <t>2021-06-30</t>
  </si>
  <si>
    <t>1400-04-08</t>
  </si>
  <si>
    <t>2021-06-29</t>
  </si>
  <si>
    <t>1400-04-07</t>
  </si>
  <si>
    <t>2021-06-28</t>
  </si>
  <si>
    <t>1400-04-06</t>
  </si>
  <si>
    <t>2021-06-27</t>
  </si>
  <si>
    <t>1400-04-05</t>
  </si>
  <si>
    <t>2021-06-26</t>
  </si>
  <si>
    <t>1400-04-03</t>
  </si>
  <si>
    <t>2021-06-24</t>
  </si>
  <si>
    <t>1400-04-02</t>
  </si>
  <si>
    <t>2021-06-23</t>
  </si>
  <si>
    <t>1400-04-01</t>
  </si>
  <si>
    <t>2021-06-22</t>
  </si>
  <si>
    <t>1400-03-31</t>
  </si>
  <si>
    <t>2021-06-21</t>
  </si>
  <si>
    <t>1400-03-30</t>
  </si>
  <si>
    <t>2021-06-20</t>
  </si>
  <si>
    <t>1400-03-29</t>
  </si>
  <si>
    <t>2021-06-19</t>
  </si>
  <si>
    <t>1400-03-27</t>
  </si>
  <si>
    <t>2021-06-17</t>
  </si>
  <si>
    <t>1400-03-26</t>
  </si>
  <si>
    <t>2021-06-16</t>
  </si>
  <si>
    <t>1400-03-25</t>
  </si>
  <si>
    <t>2021-06-15</t>
  </si>
  <si>
    <t>1400-03-24</t>
  </si>
  <si>
    <t>2021-06-14</t>
  </si>
  <si>
    <t>1400-03-23</t>
  </si>
  <si>
    <t>2021-06-13</t>
  </si>
  <si>
    <t>1400-03-22</t>
  </si>
  <si>
    <t>2021-06-12</t>
  </si>
  <si>
    <t>1400-03-20</t>
  </si>
  <si>
    <t>2021-06-10</t>
  </si>
  <si>
    <t>1400-03-19</t>
  </si>
  <si>
    <t>2021-06-09</t>
  </si>
  <si>
    <t>1400-03-18</t>
  </si>
  <si>
    <t>2021-06-08</t>
  </si>
  <si>
    <t>1400-03-17</t>
  </si>
  <si>
    <t>2021-06-07</t>
  </si>
  <si>
    <t>1400-03-13</t>
  </si>
  <si>
    <t>2021-06-03</t>
  </si>
  <si>
    <t>1400-03-12</t>
  </si>
  <si>
    <t>2021-06-02</t>
  </si>
  <si>
    <t>1400-03-11</t>
  </si>
  <si>
    <t>2021-06-01</t>
  </si>
  <si>
    <t>1400-03-10</t>
  </si>
  <si>
    <t>2021-05-31</t>
  </si>
  <si>
    <t>1400-03-09</t>
  </si>
  <si>
    <t>2021-05-30</t>
  </si>
  <si>
    <t>1400-03-08</t>
  </si>
  <si>
    <t>2021-05-29</t>
  </si>
  <si>
    <t>1400-03-06</t>
  </si>
  <si>
    <t>2021-05-27</t>
  </si>
  <si>
    <t>1400-03-05</t>
  </si>
  <si>
    <t>2021-05-26</t>
  </si>
  <si>
    <t>1400-03-04</t>
  </si>
  <si>
    <t>2021-05-25</t>
  </si>
  <si>
    <t>1400-03-03</t>
  </si>
  <si>
    <t>2021-05-24</t>
  </si>
  <si>
    <t>1400-03-02</t>
  </si>
  <si>
    <t>2021-05-23</t>
  </si>
  <si>
    <t>1400-03-01</t>
  </si>
  <si>
    <t>2021-05-22</t>
  </si>
  <si>
    <t>1400-02-30</t>
  </si>
  <si>
    <t>2021-05-20</t>
  </si>
  <si>
    <t>1400-02-29</t>
  </si>
  <si>
    <t>2021-05-19</t>
  </si>
  <si>
    <t>1400-02-28</t>
  </si>
  <si>
    <t>2021-05-18</t>
  </si>
  <si>
    <t>1400-02-27</t>
  </si>
  <si>
    <t>2021-05-17</t>
  </si>
  <si>
    <t>1400-02-26</t>
  </si>
  <si>
    <t>2021-05-16</t>
  </si>
  <si>
    <t>1400-02-25</t>
  </si>
  <si>
    <t>2021-05-15</t>
  </si>
  <si>
    <t>1400-02-23</t>
  </si>
  <si>
    <t>2021-05-13</t>
  </si>
  <si>
    <t>1400-02-22</t>
  </si>
  <si>
    <t>2021-05-12</t>
  </si>
  <si>
    <t>1400-02-21</t>
  </si>
  <si>
    <t>2021-05-11</t>
  </si>
  <si>
    <t>1400-02-20</t>
  </si>
  <si>
    <t>2021-05-10</t>
  </si>
  <si>
    <t>1400-02-19</t>
  </si>
  <si>
    <t>2021-05-09</t>
  </si>
  <si>
    <t>1400-02-18</t>
  </si>
  <si>
    <t>2021-05-08</t>
  </si>
  <si>
    <t>1400-02-16</t>
  </si>
  <si>
    <t>2021-05-06</t>
  </si>
  <si>
    <t>1400-02-15</t>
  </si>
  <si>
    <t>2021-05-05</t>
  </si>
  <si>
    <t>1400-02-13</t>
  </si>
  <si>
    <t>2021-05-03</t>
  </si>
  <si>
    <t>1400-02-12</t>
  </si>
  <si>
    <t>2021-05-02</t>
  </si>
  <si>
    <t>1400-02-11</t>
  </si>
  <si>
    <t>2021-05-01</t>
  </si>
  <si>
    <t>1400-02-09</t>
  </si>
  <si>
    <t>2021-04-29</t>
  </si>
  <si>
    <t>1400-02-08</t>
  </si>
  <si>
    <t>2021-04-28</t>
  </si>
  <si>
    <t>1400-02-07</t>
  </si>
  <si>
    <t>2021-04-27</t>
  </si>
  <si>
    <t>1400-02-06</t>
  </si>
  <si>
    <t>2021-04-26</t>
  </si>
  <si>
    <t>1400-02-05</t>
  </si>
  <si>
    <t>2021-04-25</t>
  </si>
  <si>
    <t>1400-02-04</t>
  </si>
  <si>
    <t>2021-04-24</t>
  </si>
  <si>
    <t>1400-02-02</t>
  </si>
  <si>
    <t>2021-04-22</t>
  </si>
  <si>
    <t>1400-02-01</t>
  </si>
  <si>
    <t>2021-04-21</t>
  </si>
  <si>
    <t>1400-01-31</t>
  </si>
  <si>
    <t>2021-04-20</t>
  </si>
  <si>
    <t>1400-01-30</t>
  </si>
  <si>
    <t>2021-04-19</t>
  </si>
  <si>
    <t>1400-01-29</t>
  </si>
  <si>
    <t>2021-04-18</t>
  </si>
  <si>
    <t>1400-01-28</t>
  </si>
  <si>
    <t>2021-04-17</t>
  </si>
  <si>
    <t>1400-01-26</t>
  </si>
  <si>
    <t>2021-04-15</t>
  </si>
  <si>
    <t>1400-01-25</t>
  </si>
  <si>
    <t>2021-04-14</t>
  </si>
  <si>
    <t>1400-01-24</t>
  </si>
  <si>
    <t>2021-04-13</t>
  </si>
  <si>
    <t>1400-01-23</t>
  </si>
  <si>
    <t>2021-04-12</t>
  </si>
  <si>
    <t>1400-01-22</t>
  </si>
  <si>
    <t>2021-04-11</t>
  </si>
  <si>
    <t>1400-01-21</t>
  </si>
  <si>
    <t>2021-04-10</t>
  </si>
  <si>
    <t>1400-01-19</t>
  </si>
  <si>
    <t>2021-04-08</t>
  </si>
  <si>
    <t>1400-01-18</t>
  </si>
  <si>
    <t>2021-04-07</t>
  </si>
  <si>
    <t>1400-01-17</t>
  </si>
  <si>
    <t>2021-04-06</t>
  </si>
  <si>
    <t>1400-01-16</t>
  </si>
  <si>
    <t>2021-04-05</t>
  </si>
  <si>
    <t>1400-01-15</t>
  </si>
  <si>
    <t>2021-04-04</t>
  </si>
  <si>
    <t>1400-01-14</t>
  </si>
  <si>
    <t>2021-04-03</t>
  </si>
  <si>
    <t>1400-01-12</t>
  </si>
  <si>
    <t>2021-04-01</t>
  </si>
  <si>
    <t>1400-01-11</t>
  </si>
  <si>
    <t>2021-03-31</t>
  </si>
  <si>
    <t>1400-01-10</t>
  </si>
  <si>
    <t>2021-03-30</t>
  </si>
  <si>
    <t>در گزارش 9 ماهه</t>
  </si>
  <si>
    <t>1400-01-08</t>
  </si>
  <si>
    <t>2021-03-28</t>
  </si>
  <si>
    <t>1400-01-07</t>
  </si>
  <si>
    <t>2021-03-27</t>
  </si>
  <si>
    <t>متوسط</t>
  </si>
  <si>
    <t>دلار نیمایی</t>
  </si>
  <si>
    <t xml:space="preserve">میزان رشد سالانه قیمت بشکه نفت خام شاخص </t>
  </si>
  <si>
    <t>دلار هر بشکه در صورت حساب</t>
  </si>
  <si>
    <t xml:space="preserve">ضریب تخفیف </t>
  </si>
  <si>
    <t>قیمت واقعی هر بشکه نفت خام سنگین (دلار)</t>
  </si>
  <si>
    <t>متوسط قیمت دلار نیمایی در 9 ماهه 1400</t>
  </si>
  <si>
    <t>قیمت واقعی بشکه نفت خام سنگین تحویلی به پالایشگاهی (دلار)</t>
  </si>
  <si>
    <t>قیمت صورتجساب بشکه نفت خام سنگین تحویلی به پالایشگاهی (دلار)</t>
  </si>
  <si>
    <t>پیش بینی بهای تمام شده</t>
  </si>
  <si>
    <t>نسبت قیمت هر بشکه میعانات گازی به نفت خام</t>
  </si>
  <si>
    <t>مصرف</t>
  </si>
  <si>
    <t>قیمت</t>
  </si>
  <si>
    <t>هر بشکه نفت خام در 9 ماهه اول</t>
  </si>
  <si>
    <t>هر بشکه نفت خام در پیش بینی سه ماه آخر</t>
  </si>
  <si>
    <t>مقدار خرید</t>
  </si>
  <si>
    <t>قیمت وزنی برای هر بشکه در 1400</t>
  </si>
  <si>
    <t>نرخ ریالی هر بشکه</t>
  </si>
  <si>
    <t>قیمت صورتجساب هر بشکه نفت خام سنگین تحویلی به پالایشگاهی (ریال)</t>
  </si>
  <si>
    <t>قیمت هر بشکه نفت خام شاخص</t>
  </si>
  <si>
    <t>نسبت قیمت هر بشکه میعانات به نقت خام</t>
  </si>
  <si>
    <t>از داده های گزارش 9 ماه شرکت به منظور محاسبه قیمت دلاری هر بشکه نفت خام واقعی درسال 1400 استفاده شده است.</t>
  </si>
  <si>
    <t>طبق رویه موجود از سال 1395</t>
  </si>
  <si>
    <t>میانگین سه ساله اخیر</t>
  </si>
  <si>
    <t>میانگین 4 ساله اخیر</t>
  </si>
  <si>
    <t>متغیر</t>
  </si>
  <si>
    <t>ظرفیت اسمی سالانه (هزار بشکه)</t>
  </si>
  <si>
    <t>بشکه مصرف خوراک (هزار بشکه)</t>
  </si>
  <si>
    <t>1400(Q4)</t>
  </si>
  <si>
    <t>همبستگی 100% بین قیمت‌های نفت‌گاز جهان</t>
  </si>
  <si>
    <t>دلار نیمایی فعلی در نرخ رشد تورم</t>
  </si>
  <si>
    <t>به دلیل بسیار زیادتر بودن نرخ تورم ایران نسبت به آمریکا</t>
  </si>
  <si>
    <t>براساس مطالعات رویترز</t>
  </si>
  <si>
    <t>برنت (FOB)</t>
  </si>
  <si>
    <r>
      <t>براساس درصد تغییرات نفت</t>
    </r>
    <r>
      <rPr>
        <b/>
        <sz val="13"/>
        <color theme="1"/>
        <rFont val="B Nazanin"/>
        <charset val="178"/>
      </rPr>
      <t>‌</t>
    </r>
    <r>
      <rPr>
        <sz val="13"/>
        <color theme="1"/>
        <rFont val="B Nazanin"/>
        <charset val="178"/>
      </rPr>
      <t>گاز آمریکا</t>
    </r>
  </si>
  <si>
    <t>3ماهه</t>
  </si>
  <si>
    <t>میانگین</t>
  </si>
  <si>
    <t>انحراف معیار</t>
  </si>
  <si>
    <t>میانگین نفت برنت</t>
  </si>
  <si>
    <t>میانگین نفت‌گاز فوب خلیج فارس</t>
  </si>
  <si>
    <t>میانگین نفت‌گاز خلیج آمریکا</t>
  </si>
  <si>
    <t>میانگین نفت‌گاز فوب خلیج فارس(متر مکعب)</t>
  </si>
  <si>
    <t xml:space="preserve"> روند درصد  باثبات  در ده سال اخیر</t>
  </si>
  <si>
    <t>از میانگین قیمت دلار نیما در 9 ماهه اخیر به منظور محاسبه قیمت دلاری نفت خام استفاده شده است که این میانگین با تعدیل نرخ تورم IMF برای بقیه سال نیز تعمیم داده شده است.</t>
  </si>
  <si>
    <t>میزان بشکه مصرفی نفت خام(هزار بشکه)</t>
  </si>
  <si>
    <t>میزان بشکه مصرفی میعانات گازی(هزار بشکه)</t>
  </si>
  <si>
    <t>تورم%</t>
  </si>
  <si>
    <t>پیش بینی جدید از 3 ماه آخر</t>
  </si>
  <si>
    <t>میانگین قیمت نفت برنت به نفت سنگین 9 ماهه</t>
  </si>
  <si>
    <t>متوسط قیمت دلار نیمایی در 3 ماهه آخر 1400</t>
  </si>
  <si>
    <t>میانگین نرخ دلار نیمایی(ریال)</t>
  </si>
  <si>
    <t>9 ماهه 1400</t>
  </si>
  <si>
    <t xml:space="preserve"> </t>
  </si>
  <si>
    <t>9 ماهه منتهی به 1400/09</t>
  </si>
  <si>
    <t>نسبت درآمدهای غیرعملیاتی به سود ناخالص</t>
  </si>
  <si>
    <t>سایر درآمدهای تعدیل شده سال 99 با رشد سال 98</t>
  </si>
  <si>
    <t>خلیج آمریکا گالون</t>
  </si>
  <si>
    <t>نفت‌گاز خلیج آمریکا</t>
  </si>
  <si>
    <t>میانگین سالانه نرخ دلار نیمایی(ریال)</t>
  </si>
  <si>
    <t>مبلغ نفت گاز تولیدی (هزار میلیارد تومان)</t>
  </si>
  <si>
    <t>کل مبلغ فروش نفت گاز(هزار میلیارد تومان)</t>
  </si>
  <si>
    <t>کل فروش فراورده ها(هزار میلیارد تومان)</t>
  </si>
  <si>
    <t>مبلغ نفت خام مصرفی(هزار میلیارد تومان)</t>
  </si>
  <si>
    <t>مبلغ میعانات گازی مصرفی(هزار میلیارد تومان)</t>
  </si>
  <si>
    <t>کل مواد مستقیم مصرفی(هزار میلیارد تومان)</t>
  </si>
  <si>
    <t>بهای تمام شده(هزار میلیارد تومان)</t>
  </si>
  <si>
    <t>سود هر سهم پس از کسر مالیات(ریال)</t>
  </si>
  <si>
    <t>نرخ رشد نسبت به سال 98</t>
  </si>
  <si>
    <t>میانگین هزینه‌های مالی 5 سال اخیر</t>
  </si>
  <si>
    <t>شاخص بورس</t>
  </si>
  <si>
    <t>بازده شاخص بورس</t>
  </si>
  <si>
    <t>بازده شبندر</t>
  </si>
  <si>
    <t>discount rate</t>
  </si>
  <si>
    <t>قیمت شبندر</t>
  </si>
  <si>
    <r>
      <t>r</t>
    </r>
    <r>
      <rPr>
        <vertAlign val="subscript"/>
        <sz val="11"/>
        <color theme="1"/>
        <rFont val="Arial"/>
        <family val="2"/>
        <scheme val="minor"/>
      </rPr>
      <t>m</t>
    </r>
  </si>
  <si>
    <r>
      <t>r</t>
    </r>
    <r>
      <rPr>
        <vertAlign val="subscript"/>
        <sz val="11"/>
        <color theme="1"/>
        <rFont val="Arial"/>
        <family val="2"/>
        <scheme val="minor"/>
      </rPr>
      <t>f</t>
    </r>
  </si>
  <si>
    <t>beta(60 M)</t>
  </si>
  <si>
    <t>سال</t>
  </si>
  <si>
    <t>P/E</t>
  </si>
  <si>
    <t>صنعت پالایشی</t>
  </si>
  <si>
    <t>میانگین P/E</t>
  </si>
  <si>
    <t>P/E گروه</t>
  </si>
  <si>
    <t>EPS شبندر</t>
  </si>
  <si>
    <t>قیمت(ریال)</t>
  </si>
  <si>
    <t>P/S</t>
  </si>
  <si>
    <t>میانگین P/S</t>
  </si>
  <si>
    <t>P/S گروه</t>
  </si>
  <si>
    <t>فروش شبندر به ازای هر سهم(ریال)</t>
  </si>
  <si>
    <t>نرخ رشد سود تقسیمی</t>
  </si>
  <si>
    <t>متوسط نرخ رشد سود تقسیمی براساس 3 سال آخر</t>
  </si>
  <si>
    <t>نرخ تنزیل</t>
  </si>
  <si>
    <t>DDM</t>
  </si>
  <si>
    <t>تورم</t>
  </si>
  <si>
    <t>نسبت فروش نفت‌گاز به فروش کل</t>
  </si>
  <si>
    <t>نوع توزیع</t>
  </si>
  <si>
    <t>مثلثی</t>
  </si>
  <si>
    <t>نرمال</t>
  </si>
  <si>
    <t>a</t>
  </si>
  <si>
    <t>b</t>
  </si>
  <si>
    <t>c</t>
  </si>
  <si>
    <t>قیمت هر بشکه نفت خام شاخص (دلار)</t>
  </si>
  <si>
    <t>میانگین 3 نتیجه</t>
  </si>
  <si>
    <t>داده‌های رویترز از قیمت نفت برنت</t>
  </si>
  <si>
    <t>درصد ظرفیت عملیاتی</t>
  </si>
  <si>
    <t xml:space="preserve">درصد ظرفیت عملی </t>
  </si>
  <si>
    <t xml:space="preserve"> توزیع نرمال</t>
  </si>
  <si>
    <t>کمینه</t>
  </si>
  <si>
    <t>بیشینه</t>
  </si>
  <si>
    <t>قیمت نفت برنت</t>
  </si>
  <si>
    <t>میانگین سال قبل( به غیر از سال 1401 که برابر 82 هست)</t>
  </si>
  <si>
    <t>انحراف معیار همون سال</t>
  </si>
  <si>
    <t>انحراف معیار پیش بینی شده رویترز</t>
  </si>
  <si>
    <t>max</t>
  </si>
  <si>
    <t>min</t>
  </si>
  <si>
    <t>most</t>
  </si>
  <si>
    <t>if</t>
  </si>
  <si>
    <t>p</t>
  </si>
  <si>
    <t>p&lt;if</t>
  </si>
  <si>
    <t>p&gt;if</t>
  </si>
  <si>
    <t>x</t>
  </si>
  <si>
    <t>inflation</t>
  </si>
  <si>
    <t>میانگین سه روش</t>
  </si>
  <si>
    <t>ریال</t>
  </si>
  <si>
    <t>فروش(هزار میلیارد تومان)</t>
  </si>
  <si>
    <t>بهای تمام شده کالای فروش رفته(هزار میلیارد تومان)</t>
  </si>
  <si>
    <t>سود (زیان) ناخالص(هزار میلیارد تومان)</t>
  </si>
  <si>
    <t>هزینه های عمومی, اداری و تشکیلاتی(هزار میلیارد تومان)</t>
  </si>
  <si>
    <t>خالص سایر درامدها (هزینه ها) ی عملیاتی(هزار میلیارد تومان)</t>
  </si>
  <si>
    <t>سود (زیان) عملیاتی(هزار میلیارد تومان)</t>
  </si>
  <si>
    <t>هزینه های مالی(هزار میلیارد تومان)</t>
  </si>
  <si>
    <t>سود (زیان) خالص عملیات در حال تداوم(هزار میلیارد تومان)</t>
  </si>
  <si>
    <t>مالیات(هزار میلیارد تومان)</t>
  </si>
  <si>
    <t>سود (زیان) خالص عملیات در حال تداوم قبل از مالیات(هزار میلیارد تومان)</t>
  </si>
  <si>
    <t>خالص سایر درامدها و هزینه های غیرعملیاتی(هزار میلیارد تومان)</t>
  </si>
  <si>
    <t>سود (زیان) خالص(هزار میلیارد تومان)</t>
  </si>
  <si>
    <t>Monte Carlo DDM</t>
  </si>
  <si>
    <t>توزیع</t>
  </si>
  <si>
    <t>اهمیت</t>
  </si>
  <si>
    <t>وزن</t>
  </si>
  <si>
    <t>نرخ تنزیل با capm</t>
  </si>
  <si>
    <t>قیمت(ریال) برای DDM</t>
  </si>
  <si>
    <t>مبلغ فروش نفت-گاز</t>
  </si>
  <si>
    <t>سود تقسیمی (غیر منفی)</t>
  </si>
  <si>
    <t>قیمت دلار 1401</t>
  </si>
  <si>
    <t>سود تقسیمی های مثبت</t>
  </si>
  <si>
    <t>اصلی</t>
  </si>
  <si>
    <t>گاز مایع</t>
  </si>
  <si>
    <t>ویژه</t>
  </si>
  <si>
    <t>نفتا</t>
  </si>
  <si>
    <t>گوگرد .</t>
  </si>
  <si>
    <t>نفت کوره</t>
  </si>
  <si>
    <t>بنزین معمولی</t>
  </si>
  <si>
    <t>فراورده های ویژه</t>
  </si>
  <si>
    <t>فراورده های اصلی</t>
  </si>
  <si>
    <t>شاوان</t>
  </si>
  <si>
    <t>حلال</t>
  </si>
  <si>
    <t>سوخت جت سبک( JP4)</t>
  </si>
  <si>
    <t>گوگرد</t>
  </si>
  <si>
    <t>نفت سفید</t>
  </si>
  <si>
    <t>نفتای سبک و سنگین</t>
  </si>
  <si>
    <t>روغن خام و آیزوریسایکل</t>
  </si>
  <si>
    <t>سوخت جت سنگین(ATK)</t>
  </si>
  <si>
    <t>وکیوم باتوم</t>
  </si>
  <si>
    <t>نفت کوره و مالچ</t>
  </si>
  <si>
    <t>انواع بنزین موتور</t>
  </si>
  <si>
    <t>نفت گاز نهایی</t>
  </si>
  <si>
    <t>شتران</t>
  </si>
  <si>
    <t>لوبکات</t>
  </si>
  <si>
    <t>آیزوریسایکل</t>
  </si>
  <si>
    <t>آیزوفید</t>
  </si>
  <si>
    <t>بنزن</t>
  </si>
  <si>
    <t>سوخت هوایی</t>
  </si>
  <si>
    <t>گاز بوتان به پتروشیمی</t>
  </si>
  <si>
    <t>حلالها</t>
  </si>
  <si>
    <t>بنزین</t>
  </si>
  <si>
    <t>شبریز</t>
  </si>
  <si>
    <t>فرعی</t>
  </si>
  <si>
    <t>سوخت سبک جت (JP4)</t>
  </si>
  <si>
    <t>سوخت سنگین جت (ATK)</t>
  </si>
  <si>
    <t>هیدروژن</t>
  </si>
  <si>
    <t>مخلوط آوماتیک های سبک</t>
  </si>
  <si>
    <t>سایر فراورده ها</t>
  </si>
  <si>
    <t>گاز مایع /پروپان</t>
  </si>
  <si>
    <t>هیدرو کربورهای بدون شاخه</t>
  </si>
  <si>
    <t>روغن خام</t>
  </si>
  <si>
    <t>شپنا</t>
  </si>
  <si>
    <t>پروپان</t>
  </si>
  <si>
    <t>وکیوم سلاپس</t>
  </si>
  <si>
    <t>حلال ها</t>
  </si>
  <si>
    <t>سوخت سنگین جت</t>
  </si>
  <si>
    <t>لوپکات</t>
  </si>
  <si>
    <t>گازمایع</t>
  </si>
  <si>
    <t>بنزین موتور</t>
  </si>
  <si>
    <t>شبندر</t>
  </si>
  <si>
    <t>نسبت فراورده به خوراک</t>
  </si>
  <si>
    <t>مترمکعب فراورده</t>
  </si>
  <si>
    <t>مترمکعب خوراک مصرفی</t>
  </si>
  <si>
    <t>سال 99</t>
  </si>
  <si>
    <t>دوره مالی (هزارمیلیارد تومان)</t>
  </si>
  <si>
    <t>هزینه کاهش ارزش دریافتنی‌‏ها (هزینه استثنایی)</t>
  </si>
  <si>
    <t>شپنا-پالایش نفت اصفهان</t>
  </si>
  <si>
    <t>12 ماهه منتهی به 1395/12</t>
  </si>
  <si>
    <t>12 ماهه منتهی به 1396/12</t>
  </si>
  <si>
    <t>12 ماهه منتهی به 1397/12</t>
  </si>
  <si>
    <t>12 ماهه منتهی به 1398/12</t>
  </si>
  <si>
    <t>12 ماهه منتهی به 1399/12</t>
  </si>
  <si>
    <t>تاریخ انتشار</t>
  </si>
  <si>
    <t>1397-04-23 (10)</t>
  </si>
  <si>
    <t>1398-04-15 (9)</t>
  </si>
  <si>
    <t>1399-04-19 (8)</t>
  </si>
  <si>
    <t>1400-04-26 (10)</t>
  </si>
  <si>
    <t>1400-10-29 (8)</t>
  </si>
  <si>
    <t>نرخ مالیات</t>
  </si>
  <si>
    <t>شبریز-پالایش نفت تبریز</t>
  </si>
  <si>
    <t>1397-04-22 (11)</t>
  </si>
  <si>
    <t>1398-04-19 (9)</t>
  </si>
  <si>
    <t>1399-04-15 (9)</t>
  </si>
  <si>
    <t>1400-04-27 (11)</t>
  </si>
  <si>
    <t>1400-11-03 (9)</t>
  </si>
  <si>
    <t>شتران-پالایش نفت تهران</t>
  </si>
  <si>
    <t>1397-04-20 (10)</t>
  </si>
  <si>
    <t>1399-04-19 (10)</t>
  </si>
  <si>
    <t>1400-04-25 (10)</t>
  </si>
  <si>
    <t>1400-10-29 (6)</t>
  </si>
  <si>
    <t>شاوان-پالایش نفت لاوان</t>
  </si>
  <si>
    <t>1398-04-20 (9)</t>
  </si>
  <si>
    <t>1399-04-21 (9)</t>
  </si>
  <si>
    <t>1400-04-27 (13)</t>
  </si>
  <si>
    <t>1400-11-05 (8)</t>
  </si>
  <si>
    <t>نرخ  مالیات</t>
  </si>
  <si>
    <t>Balance Sheet</t>
  </si>
  <si>
    <t>دارایی</t>
  </si>
  <si>
    <t>موجودی نقد</t>
  </si>
  <si>
    <t>سرمایه گذاری کوتاه مدت</t>
  </si>
  <si>
    <t>دریافتنی‌های تجاری و سایر دریافتنی‌ها</t>
  </si>
  <si>
    <t>موجودی مواد و کالا</t>
  </si>
  <si>
    <t>پیش پرداخت ها</t>
  </si>
  <si>
    <t>دارایی ثابت مشهود</t>
  </si>
  <si>
    <t>جمع داراییهای جاری</t>
  </si>
  <si>
    <t>سایر دارایی ها</t>
  </si>
  <si>
    <t>سرمایه گذاریهای بلند مدت</t>
  </si>
  <si>
    <t>جمع داراییها</t>
  </si>
  <si>
    <t>داراییهای ثابت مشهود</t>
  </si>
  <si>
    <t>داراییهای نامشهود</t>
  </si>
  <si>
    <t>پرداختنی‌های تجاری و سایر پرداختنی‌ها</t>
  </si>
  <si>
    <t>ذخیره مالیات بر درامد</t>
  </si>
  <si>
    <t>جمع داراییهای غیرجاری</t>
  </si>
  <si>
    <t>سود سهام پیشنهادی و پرداختنی</t>
  </si>
  <si>
    <t>سایر بدهی ها</t>
  </si>
  <si>
    <t>بدهی</t>
  </si>
  <si>
    <t>جمع کل بدهی</t>
  </si>
  <si>
    <t>پیش دریافتها</t>
  </si>
  <si>
    <t>اندوخته طرح و توسعه</t>
  </si>
  <si>
    <t>سود (زیان) انباشته</t>
  </si>
  <si>
    <t>حصه جاری تسهیلات مالی دریافتی</t>
  </si>
  <si>
    <t>جمع بدهیهای جاری</t>
  </si>
  <si>
    <t>کل حقوق صاحبان سهام</t>
  </si>
  <si>
    <t>حسابها و اسناد پرداختنی بلند مدت</t>
  </si>
  <si>
    <t>ذخیره مزایای پایان خدمت</t>
  </si>
  <si>
    <t>جمع بدهیهای غیر جاری</t>
  </si>
  <si>
    <t>جمع بدهیهای جاری و غیر جاری</t>
  </si>
  <si>
    <t>بدهیها و حقوق صاحبان سهام</t>
  </si>
  <si>
    <t>اندوخته قانونی</t>
  </si>
  <si>
    <t>جمع حقوق صاحبان سهام</t>
  </si>
  <si>
    <t>جمع بدهیها و حقوق صاحبان سهام</t>
  </si>
  <si>
    <t>Balance Sheet bandarabbas</t>
  </si>
  <si>
    <t>1397-04-23 (9)</t>
  </si>
  <si>
    <t>دارایی های نگهداری شده برای فروش</t>
  </si>
  <si>
    <t>حسابها و اسناد دریافتنی تجاری بلند مدت</t>
  </si>
  <si>
    <t>سرمایه گذاری در املاک</t>
  </si>
  <si>
    <t>پیش پرداخت های سرمایه ای</t>
  </si>
  <si>
    <t>بدهی به شرکتهای گروه و وابسته</t>
  </si>
  <si>
    <t>ذخایر</t>
  </si>
  <si>
    <t>بدهی های مرتبط با دارایی های غیر جاری نگهداری شده برای فروش</t>
  </si>
  <si>
    <t>پیش دریافتهای غیرجاری</t>
  </si>
  <si>
    <t>تسهیلات مالی دریافتی بلند مدت</t>
  </si>
  <si>
    <t>صرف سهام</t>
  </si>
  <si>
    <t>وجوه دریافتی بابت افزایش سرمایه</t>
  </si>
  <si>
    <t>سهام خزانه</t>
  </si>
  <si>
    <t>صرف سهام خزانه</t>
  </si>
  <si>
    <t>مازاد تجدید ارزیابی دارایی های غیر جاری نگه داری شده برای فروش</t>
  </si>
  <si>
    <t>مازاد تجدید ارزیابی داراییها</t>
  </si>
  <si>
    <t>اندوخته تسعیر ارز داراییها و بدهیهای شرکت های دولتی</t>
  </si>
  <si>
    <t>تفاوت تسعیر ناشی از تبدیل واحد پول گزارشگری</t>
  </si>
  <si>
    <t>1397-04-22 (9)</t>
  </si>
  <si>
    <t>12 ماهه منتهی به 1394/12</t>
  </si>
  <si>
    <t>1396-04-20 (9)</t>
  </si>
  <si>
    <t>1397-04-20 (8)</t>
  </si>
  <si>
    <t>1396-04-21 (8)</t>
  </si>
  <si>
    <t>1397-04-20 (9)</t>
  </si>
  <si>
    <t>درصد فروش به کل فروش شرکت</t>
  </si>
  <si>
    <t>لوبکات سنگین</t>
  </si>
  <si>
    <t>بوتان</t>
  </si>
  <si>
    <t>برگشت از فروش</t>
  </si>
  <si>
    <r>
      <t>r</t>
    </r>
    <r>
      <rPr>
        <vertAlign val="subscript"/>
        <sz val="11"/>
        <color theme="1"/>
        <rFont val="B Nazanin"/>
        <charset val="178"/>
      </rPr>
      <t>f</t>
    </r>
  </si>
  <si>
    <r>
      <t>r</t>
    </r>
    <r>
      <rPr>
        <vertAlign val="subscript"/>
        <sz val="11"/>
        <color theme="1"/>
        <rFont val="B Nazanin"/>
        <charset val="178"/>
      </rPr>
      <t>m</t>
    </r>
  </si>
  <si>
    <t>Bourse view</t>
  </si>
  <si>
    <t>نام شرکت</t>
  </si>
  <si>
    <t>P/B</t>
  </si>
  <si>
    <t>P/FCFF</t>
  </si>
  <si>
    <t>P/FCFE</t>
  </si>
  <si>
    <t>EV/EBIT</t>
  </si>
  <si>
    <t xml:space="preserve">میانگین </t>
  </si>
  <si>
    <t>Revenue 5-year GR</t>
  </si>
  <si>
    <t>OP 5-year GR</t>
  </si>
  <si>
    <t>NI 5-year GR</t>
  </si>
  <si>
    <t>رشد فروش</t>
  </si>
  <si>
    <t>رشد سود عملیاتی</t>
  </si>
  <si>
    <t>لاوان</t>
  </si>
  <si>
    <t>صنعت</t>
  </si>
  <si>
    <t>رشد سود خالص</t>
  </si>
  <si>
    <t>بورس ایران</t>
  </si>
  <si>
    <t>GP margin</t>
  </si>
  <si>
    <t>ROA</t>
  </si>
  <si>
    <t>Cash ratio</t>
  </si>
  <si>
    <t>Current ratio</t>
  </si>
  <si>
    <t>نسبت‌های مالی</t>
  </si>
  <si>
    <t>سودآوری  (TTM/MRQ)</t>
  </si>
  <si>
    <t>12ماهه منتهی به 1396-12</t>
  </si>
  <si>
    <t>12ماهه منتهی به 1397-12</t>
  </si>
  <si>
    <t>12ماهه منتهی به 1398-12</t>
  </si>
  <si>
    <t>12ماهه منتهی به 1399-12</t>
  </si>
  <si>
    <t>TTM/MRQ</t>
  </si>
  <si>
    <t>TTM حاشیه سود ناخالص</t>
  </si>
  <si>
    <t>MRQ حاشیه سود ناخالص</t>
  </si>
  <si>
    <t>TTM حاشیه سود عملیاتی</t>
  </si>
  <si>
    <t>MRQ حاشیه سود عملیاتی</t>
  </si>
  <si>
    <t>حاشیه سود قبل از مالیات</t>
  </si>
  <si>
    <t>TTM حاشیه سود خالص</t>
  </si>
  <si>
    <t>MRQ حاشیه سود خالص</t>
  </si>
  <si>
    <t>بازده دارایی ها</t>
  </si>
  <si>
    <t>بازده حقوق صاحبان سهام</t>
  </si>
  <si>
    <t>نسبت سود قبل از بهره و مالیات به دارایی</t>
  </si>
  <si>
    <t>کارایی  (TTM/MRQ)</t>
  </si>
  <si>
    <t>گردش دارایی ها</t>
  </si>
  <si>
    <t>گردش دارایی های ثابت</t>
  </si>
  <si>
    <t>گردش موجودی کالا</t>
  </si>
  <si>
    <t>دوره گردش موجودی کالا</t>
  </si>
  <si>
    <t>گردش حساب های دریافتنی</t>
  </si>
  <si>
    <t>دوره وصول مطالبات</t>
  </si>
  <si>
    <t>اهرم/ریسک  (TTM/MRQ)</t>
  </si>
  <si>
    <t>جمع بدهی ها به جمع دارایی ها</t>
  </si>
  <si>
    <t>جمع بدهی ها به حقوق صاحبان سهام</t>
  </si>
  <si>
    <t>نسبت بدهی</t>
  </si>
  <si>
    <t>نسبت بدهی به حقوق صاحبان سهام</t>
  </si>
  <si>
    <t>نسبت بدهی های بلند مدت</t>
  </si>
  <si>
    <t>نسبت سود انباشته به دارایی ها</t>
  </si>
  <si>
    <t>نسبت پوشش هزینه بهره</t>
  </si>
  <si>
    <t>نقدینگی  (TTM/MRQ)</t>
  </si>
  <si>
    <t>نسبت جاری</t>
  </si>
  <si>
    <t>نسبت آنی</t>
  </si>
  <si>
    <t>نسبت نقد</t>
  </si>
  <si>
    <t>وجوه نقد  (TTM/MRQ)</t>
  </si>
  <si>
    <t>نسبت وجه نقد آزاد شرکت به درآمد</t>
  </si>
  <si>
    <t>نسبت وجه نقد آزاد شرکت به سود خالص</t>
  </si>
  <si>
    <t>نسبت جریان نقد سهامداران به درآمد</t>
  </si>
  <si>
    <t>نسبت جریان نقد سهامداران به سود خالص</t>
  </si>
  <si>
    <t>نسبت مخارج سرمایه ای به درآمد</t>
  </si>
  <si>
    <t>نسبت مخارج سرمایه ای به سود خالص</t>
  </si>
  <si>
    <t>نسبت وجه نقد عملیاتی به درآمد</t>
  </si>
  <si>
    <t>نسبت وجه نقد عملیاتی به جمع بدهی ها</t>
  </si>
  <si>
    <t>نسبت جریان نقد سرمایه گذاری به درآمد</t>
  </si>
  <si>
    <t>نسبت جریان نقد تامین مالی به درآمد</t>
  </si>
  <si>
    <t>ارزش گذاری  -میلیارد (TTM/MRQ)</t>
  </si>
  <si>
    <t>ارزش بنگاه</t>
  </si>
  <si>
    <t>ارزش دفتری</t>
  </si>
  <si>
    <t>وجوه نقد عملیاتی</t>
  </si>
  <si>
    <t>وجه نقد آزاد شرکت</t>
  </si>
  <si>
    <t>وجه نقد آزاد سهامداران</t>
  </si>
  <si>
    <t>هزینه فروش، اداری و عمومی</t>
  </si>
  <si>
    <t>دستمزد مستقیم</t>
  </si>
  <si>
    <t>سربار</t>
  </si>
  <si>
    <t>مالیات بر درآمد</t>
  </si>
  <si>
    <t>کل  هزینه</t>
  </si>
  <si>
    <t>کل فروش</t>
  </si>
  <si>
    <t>متوسط فروش صنعت</t>
  </si>
  <si>
    <t>متوسط مواد مستقیم مصرفی</t>
  </si>
  <si>
    <t>درصد مواد مستقیم به کل در آمد صنعت</t>
  </si>
  <si>
    <t>درصد مواد مستقیم به کل در آمد</t>
  </si>
  <si>
    <t>چارک چهارم</t>
  </si>
  <si>
    <t>چارک سوم</t>
  </si>
  <si>
    <t>چارک دوم</t>
  </si>
  <si>
    <t>چارک اول</t>
  </si>
  <si>
    <t>متوسط صنعت</t>
  </si>
  <si>
    <t>حاشیه سود خالص</t>
  </si>
  <si>
    <t>حاشیه سود عملیاتی</t>
  </si>
  <si>
    <t>حاشیه سود ناخالص</t>
  </si>
  <si>
    <t>بارهزینه مالی</t>
  </si>
  <si>
    <t>درآمد عملیاتی</t>
  </si>
  <si>
    <t>بارمالیاتی</t>
  </si>
  <si>
    <t>سود قبل از مالیات</t>
  </si>
  <si>
    <t>بازده گردش دارایی ها</t>
  </si>
  <si>
    <t>دارایی به حقوق صاحبان (اهرم مالی)</t>
  </si>
  <si>
    <t>متوسط دارایی</t>
  </si>
  <si>
    <t>ROE</t>
  </si>
  <si>
    <t>متوسط حقوق صاحبان</t>
  </si>
  <si>
    <t>حقوق صاحبان سهام</t>
  </si>
  <si>
    <t>سود خالص</t>
  </si>
  <si>
    <t>نرخ رشد 95 به 99</t>
  </si>
  <si>
    <t>دوپونت 5 مرحله ای</t>
  </si>
  <si>
    <t>متوسط 5 ساله ROIC</t>
  </si>
  <si>
    <t>ROIC</t>
  </si>
  <si>
    <t>میانگین cash</t>
  </si>
  <si>
    <t>cash</t>
  </si>
  <si>
    <t>میانگین Equity</t>
  </si>
  <si>
    <t>Equity</t>
  </si>
  <si>
    <t>میانگین Debt</t>
  </si>
  <si>
    <t>Debt</t>
  </si>
  <si>
    <t>NOPAT</t>
  </si>
  <si>
    <t>tax rate</t>
  </si>
  <si>
    <t>EBIT</t>
  </si>
  <si>
    <t>میانگین رشد فروش</t>
  </si>
  <si>
    <t>ارزش بازار</t>
  </si>
  <si>
    <t>میانگین ROIC 5 ساله</t>
  </si>
  <si>
    <t>میانگین رشد فروش 5 ساله</t>
  </si>
  <si>
    <t>رابطه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</si>
</sst>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4" formatCode="_(&quot;$&quot;* #,##0.00_);_(&quot;$&quot;* \(#,##0.00\);_(&quot;$&quot;* &quot;-&quot;??_);_(@_)"/>
    <numFmt numFmtId="43" formatCode="_(* #,##0.00_);_(* \(#,##0.00\);_(* &quot;-&quot;??_);_(@_)"/>
    <numFmt numFmtId="164" formatCode="0.0%"/>
    <numFmt numFmtId="165" formatCode="_(* #,##0_);_(* \(#,##0\);_(* &quot;-&quot;??_);_(@_)"/>
    <numFmt numFmtId="166" formatCode="_(* #,##0.0_);_(* \(#,##0.0\);_(* &quot;-&quot;??_);_(@_)"/>
    <numFmt numFmtId="167" formatCode="[$-3000401]#,##0"/>
    <numFmt numFmtId="168" formatCode="[$-2000401]#,##0"/>
    <numFmt numFmtId="169" formatCode="0.0"/>
    <numFmt numFmtId="170" formatCode="mmm\-yyyy"/>
    <numFmt numFmtId="171" formatCode="yyyy\-mm\-dd\ hh:mm:ss"/>
    <numFmt numFmtId="172" formatCode="0.000%"/>
    <numFmt numFmtId="173" formatCode="[$-3000401]0.##"/>
    <numFmt numFmtId="174" formatCode="0.00000000000000%"/>
  </numFmts>
  <fonts count="38" x14ac:knownFonts="1">
    <font>
      <sz val="11"/>
      <color theme="1"/>
      <name val="Arial"/>
      <family val="2"/>
      <scheme val="minor"/>
    </font>
    <font>
      <sz val="11"/>
      <color theme="1"/>
      <name val="IRANSans"/>
      <family val="2"/>
    </font>
    <font>
      <sz val="11"/>
      <color theme="1"/>
      <name val="IRANSans"/>
      <family val="2"/>
    </font>
    <font>
      <sz val="11"/>
      <color theme="1"/>
      <name val="IRANSans"/>
      <family val="2"/>
    </font>
    <font>
      <sz val="11"/>
      <color theme="1"/>
      <name val="IRANSans"/>
      <family val="2"/>
    </font>
    <font>
      <sz val="11"/>
      <color theme="1"/>
      <name val="Arial"/>
      <family val="2"/>
      <scheme val="minor"/>
    </font>
    <font>
      <sz val="11"/>
      <color rgb="FF333333"/>
      <name val="Calibri"/>
      <family val="2"/>
    </font>
    <font>
      <sz val="12"/>
      <name val="Calibri Bold"/>
    </font>
    <font>
      <sz val="12"/>
      <color rgb="FF333333"/>
      <name val="Calibri Bold"/>
    </font>
    <font>
      <sz val="11"/>
      <color rgb="FFFF0000"/>
      <name val="Calibri"/>
      <family val="2"/>
    </font>
    <font>
      <sz val="11"/>
      <name val="Calibri"/>
      <family val="2"/>
    </font>
    <font>
      <sz val="16"/>
      <color rgb="FFFFFFFF"/>
      <name val="Calibri"/>
      <family val="2"/>
    </font>
    <font>
      <sz val="13"/>
      <color theme="1"/>
      <name val="B Nazanin"/>
      <charset val="178"/>
    </font>
    <font>
      <sz val="13"/>
      <name val="B Nazanin"/>
      <charset val="178"/>
    </font>
    <font>
      <sz val="13"/>
      <color rgb="FF333333"/>
      <name val="B Nazanin"/>
      <charset val="178"/>
    </font>
    <font>
      <b/>
      <sz val="13"/>
      <color rgb="FFFF0000"/>
      <name val="B Nazanin"/>
      <charset val="178"/>
    </font>
    <font>
      <b/>
      <sz val="13"/>
      <color theme="1"/>
      <name val="B Nazanin"/>
      <charset val="178"/>
    </font>
    <font>
      <b/>
      <sz val="13"/>
      <name val="B Nazanin"/>
      <charset val="178"/>
    </font>
    <font>
      <sz val="13"/>
      <color rgb="FFFF0000"/>
      <name val="B Nazanin"/>
      <charset val="178"/>
    </font>
    <font>
      <sz val="10"/>
      <name val="Arial"/>
      <family val="2"/>
    </font>
    <font>
      <sz val="11"/>
      <color theme="1"/>
      <name val="B Nazanin"/>
      <charset val="178"/>
    </font>
    <font>
      <sz val="8"/>
      <name val="Arial"/>
      <family val="2"/>
      <scheme val="minor"/>
    </font>
    <font>
      <vertAlign val="subscript"/>
      <sz val="11"/>
      <color theme="1"/>
      <name val="Arial"/>
      <family val="2"/>
      <scheme val="minor"/>
    </font>
    <font>
      <b/>
      <sz val="11"/>
      <color theme="0"/>
      <name val="Arial"/>
      <family val="2"/>
      <scheme val="minor"/>
    </font>
    <font>
      <sz val="11"/>
      <color theme="0"/>
      <name val="B Nazanin"/>
      <charset val="178"/>
    </font>
    <font>
      <b/>
      <sz val="11"/>
      <color theme="1"/>
      <name val="B Nazanin"/>
      <charset val="178"/>
    </font>
    <font>
      <sz val="32"/>
      <color rgb="FFFFFFFF"/>
      <name val="Calibri Light"/>
      <family val="2"/>
    </font>
    <font>
      <sz val="24"/>
      <color rgb="FFFFFFFF"/>
      <name val="Calibri Bold"/>
    </font>
    <font>
      <sz val="11"/>
      <color rgb="FF777777"/>
      <name val="Calibri"/>
      <family val="2"/>
    </font>
    <font>
      <sz val="11"/>
      <color rgb="FF333333"/>
      <name val="Calibri Bold"/>
    </font>
    <font>
      <sz val="13"/>
      <color rgb="FFFFFFFF"/>
      <name val="B Nazanin"/>
      <charset val="178"/>
    </font>
    <font>
      <sz val="13"/>
      <color rgb="FF777777"/>
      <name val="B Nazanin"/>
      <charset val="178"/>
    </font>
    <font>
      <sz val="11"/>
      <color rgb="FF00A9E8"/>
      <name val="Calibri Bold"/>
    </font>
    <font>
      <sz val="14"/>
      <color theme="1"/>
      <name val="B Nazanin"/>
      <charset val="178"/>
    </font>
    <font>
      <sz val="14"/>
      <name val="B Nazanin"/>
      <charset val="178"/>
    </font>
    <font>
      <b/>
      <sz val="14"/>
      <name val="B Nazanin"/>
      <charset val="178"/>
    </font>
    <font>
      <sz val="13"/>
      <color theme="0"/>
      <name val="B Nazanin"/>
      <charset val="178"/>
    </font>
    <font>
      <vertAlign val="subscript"/>
      <sz val="11"/>
      <color theme="1"/>
      <name val="B Nazanin"/>
      <charset val="178"/>
    </font>
  </fonts>
  <fills count="22">
    <fill>
      <patternFill patternType="none"/>
    </fill>
    <fill>
      <patternFill patternType="gray125"/>
    </fill>
    <fill>
      <patternFill patternType="solid">
        <fgColor rgb="FFECECEC"/>
        <bgColor indexed="64"/>
      </patternFill>
    </fill>
    <fill>
      <patternFill patternType="solid">
        <fgColor rgb="FFF5F5F5"/>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A9E8"/>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A5A5A5"/>
      </patternFill>
    </fill>
    <fill>
      <patternFill patternType="solid">
        <fgColor theme="7" tint="0.79998168889431442"/>
        <bgColor indexed="64"/>
      </patternFill>
    </fill>
    <fill>
      <patternFill patternType="solid">
        <fgColor rgb="FF00B050"/>
        <bgColor indexed="64"/>
      </patternFill>
    </fill>
    <fill>
      <patternFill patternType="solid">
        <fgColor theme="5"/>
        <bgColor indexed="64"/>
      </patternFill>
    </fill>
    <fill>
      <patternFill patternType="solid">
        <fgColor theme="0" tint="-0.14999847407452621"/>
        <bgColor indexed="64"/>
      </patternFill>
    </fill>
    <fill>
      <patternFill patternType="solid">
        <fgColor rgb="FFD9EFFB"/>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top/>
      <bottom style="medium">
        <color rgb="FF333333"/>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rgb="FF333333"/>
      </bottom>
      <diagonal/>
    </border>
    <border>
      <left style="medium">
        <color indexed="64"/>
      </left>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rgb="FF333333"/>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rgb="FF3F3F3F"/>
      </left>
      <right style="medium">
        <color indexed="64"/>
      </right>
      <top style="double">
        <color rgb="FF3F3F3F"/>
      </top>
      <bottom style="double">
        <color rgb="FF3F3F3F"/>
      </bottom>
      <diagonal/>
    </border>
    <border>
      <left style="double">
        <color rgb="FF3F3F3F"/>
      </left>
      <right style="double">
        <color rgb="FF3F3F3F"/>
      </right>
      <top style="double">
        <color rgb="FF3F3F3F"/>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medium">
        <color rgb="FF333333"/>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8">
    <xf numFmtId="0" fontId="0" fillId="0" borderId="0"/>
    <xf numFmtId="9" fontId="5" fillId="0" borderId="0" applyFont="0" applyFill="0" applyBorder="0" applyAlignment="0" applyProtection="0"/>
    <xf numFmtId="0" fontId="4" fillId="0" borderId="0"/>
    <xf numFmtId="43" fontId="5" fillId="0" borderId="0" applyFont="0" applyFill="0" applyBorder="0" applyAlignment="0" applyProtection="0"/>
    <xf numFmtId="0" fontId="3" fillId="0" borderId="0"/>
    <xf numFmtId="43" fontId="3" fillId="0" borderId="0" applyFont="0" applyFill="0" applyBorder="0" applyAlignment="0" applyProtection="0"/>
    <xf numFmtId="0" fontId="6" fillId="0" borderId="0"/>
    <xf numFmtId="9" fontId="3"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19" fillId="0" borderId="0"/>
    <xf numFmtId="0" fontId="23" fillId="16" borderId="28" applyNumberFormat="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710">
    <xf numFmtId="0" fontId="0" fillId="0" borderId="0" xfId="0"/>
    <xf numFmtId="0" fontId="6" fillId="0" borderId="0" xfId="6"/>
    <xf numFmtId="0" fontId="6" fillId="2" borderId="0" xfId="6" applyFill="1"/>
    <xf numFmtId="0" fontId="8" fillId="2" borderId="0" xfId="6" applyFont="1" applyFill="1"/>
    <xf numFmtId="0" fontId="10" fillId="2" borderId="0" xfId="6" applyFont="1" applyFill="1" applyBorder="1" applyAlignment="1">
      <alignment horizontal="center" vertical="center"/>
    </xf>
    <xf numFmtId="0" fontId="10" fillId="3" borderId="0" xfId="6" applyFont="1" applyFill="1" applyBorder="1" applyAlignment="1">
      <alignment horizontal="center" vertical="center"/>
    </xf>
    <xf numFmtId="0" fontId="7" fillId="2" borderId="3" xfId="6" applyFont="1" applyFill="1" applyBorder="1" applyAlignment="1">
      <alignment horizontal="center" vertical="center"/>
    </xf>
    <xf numFmtId="0" fontId="6" fillId="7" borderId="0" xfId="6" applyFill="1" applyAlignment="1">
      <alignment horizontal="left" vertical="top"/>
    </xf>
    <xf numFmtId="0" fontId="11" fillId="7" borderId="0" xfId="6" applyFont="1" applyFill="1" applyAlignment="1">
      <alignment horizontal="left" vertical="top"/>
    </xf>
    <xf numFmtId="0" fontId="6" fillId="2" borderId="0" xfId="6" applyFill="1" applyAlignment="1">
      <alignment horizontal="left" vertical="top"/>
    </xf>
    <xf numFmtId="0" fontId="0" fillId="2" borderId="0" xfId="0" applyFill="1"/>
    <xf numFmtId="0" fontId="12" fillId="0" borderId="0" xfId="4" applyFont="1" applyAlignment="1">
      <alignment horizontal="center"/>
    </xf>
    <xf numFmtId="0" fontId="13" fillId="4" borderId="1" xfId="6" applyFont="1" applyFill="1" applyBorder="1" applyAlignment="1">
      <alignment horizontal="center" vertical="top"/>
    </xf>
    <xf numFmtId="0" fontId="14" fillId="6" borderId="1" xfId="6" applyFont="1" applyFill="1" applyBorder="1" applyAlignment="1">
      <alignment horizontal="center" vertical="top" wrapText="1"/>
    </xf>
    <xf numFmtId="0" fontId="14" fillId="5" borderId="1" xfId="6" applyFont="1" applyFill="1" applyBorder="1" applyAlignment="1">
      <alignment horizontal="center" vertical="center"/>
    </xf>
    <xf numFmtId="165" fontId="14" fillId="5" borderId="1" xfId="3" applyNumberFormat="1" applyFont="1" applyFill="1" applyBorder="1" applyAlignment="1">
      <alignment horizontal="center" vertical="center"/>
    </xf>
    <xf numFmtId="165" fontId="14" fillId="5" borderId="1" xfId="6" applyNumberFormat="1" applyFont="1" applyFill="1" applyBorder="1" applyAlignment="1">
      <alignment horizontal="center" vertical="center"/>
    </xf>
    <xf numFmtId="165" fontId="14" fillId="5" borderId="1" xfId="5" applyNumberFormat="1" applyFont="1" applyFill="1" applyBorder="1" applyAlignment="1">
      <alignment horizontal="center" vertical="center"/>
    </xf>
    <xf numFmtId="0" fontId="14" fillId="0" borderId="0" xfId="6" applyFont="1" applyAlignment="1">
      <alignment horizontal="center"/>
    </xf>
    <xf numFmtId="43" fontId="12" fillId="0" borderId="0" xfId="5" applyFont="1" applyAlignment="1">
      <alignment horizontal="center"/>
    </xf>
    <xf numFmtId="43" fontId="14" fillId="5" borderId="1" xfId="5" applyFont="1" applyFill="1" applyBorder="1" applyAlignment="1">
      <alignment horizontal="center" vertical="center"/>
    </xf>
    <xf numFmtId="9" fontId="14" fillId="5" borderId="1" xfId="1" applyFont="1" applyFill="1" applyBorder="1" applyAlignment="1">
      <alignment horizontal="center" vertical="center"/>
    </xf>
    <xf numFmtId="43" fontId="12" fillId="5" borderId="1" xfId="3" applyFont="1" applyFill="1" applyBorder="1" applyAlignment="1">
      <alignment horizontal="center" vertical="center"/>
    </xf>
    <xf numFmtId="43" fontId="14" fillId="5" borderId="1" xfId="3" applyFont="1" applyFill="1" applyBorder="1" applyAlignment="1">
      <alignment horizontal="center" vertical="center"/>
    </xf>
    <xf numFmtId="43" fontId="12" fillId="5" borderId="1" xfId="3" applyFont="1" applyFill="1" applyBorder="1" applyAlignment="1">
      <alignment horizontal="center"/>
    </xf>
    <xf numFmtId="164" fontId="12" fillId="5" borderId="1" xfId="1" applyNumberFormat="1" applyFont="1" applyFill="1" applyBorder="1" applyAlignment="1">
      <alignment horizontal="center"/>
    </xf>
    <xf numFmtId="165" fontId="12" fillId="5" borderId="1" xfId="3" applyNumberFormat="1" applyFont="1" applyFill="1" applyBorder="1" applyAlignment="1">
      <alignment horizontal="center" vertical="center"/>
    </xf>
    <xf numFmtId="9" fontId="12" fillId="4" borderId="1" xfId="1" applyFont="1" applyFill="1" applyBorder="1" applyAlignment="1">
      <alignment horizontal="center"/>
    </xf>
    <xf numFmtId="0" fontId="12" fillId="0" borderId="1" xfId="1" applyNumberFormat="1" applyFont="1" applyBorder="1" applyAlignment="1">
      <alignment horizontal="center"/>
    </xf>
    <xf numFmtId="9" fontId="12" fillId="0" borderId="1" xfId="1" applyFont="1" applyBorder="1" applyAlignment="1">
      <alignment horizontal="center"/>
    </xf>
    <xf numFmtId="2" fontId="12" fillId="0" borderId="1" xfId="1" applyNumberFormat="1" applyFont="1" applyBorder="1" applyAlignment="1">
      <alignment horizontal="center" vertical="center"/>
    </xf>
    <xf numFmtId="0" fontId="12" fillId="0" borderId="1" xfId="0" applyFont="1" applyBorder="1" applyAlignment="1">
      <alignment horizontal="center"/>
    </xf>
    <xf numFmtId="165" fontId="12" fillId="0" borderId="1" xfId="3" applyNumberFormat="1" applyFont="1" applyBorder="1" applyAlignment="1">
      <alignment horizontal="center" vertical="center"/>
    </xf>
    <xf numFmtId="9" fontId="12" fillId="0" borderId="1" xfId="1" applyFont="1" applyBorder="1" applyAlignment="1">
      <alignment horizontal="center" vertical="center"/>
    </xf>
    <xf numFmtId="0" fontId="13" fillId="2" borderId="1" xfId="0" applyFont="1" applyFill="1" applyBorder="1" applyAlignment="1">
      <alignment horizontal="center" vertical="top"/>
    </xf>
    <xf numFmtId="0" fontId="12" fillId="0" borderId="0" xfId="0" applyFont="1" applyBorder="1" applyAlignment="1">
      <alignment horizontal="center"/>
    </xf>
    <xf numFmtId="0" fontId="12" fillId="0" borderId="0" xfId="0" applyFont="1" applyAlignment="1">
      <alignment horizontal="center"/>
    </xf>
    <xf numFmtId="0" fontId="12" fillId="3" borderId="1" xfId="0" applyFont="1" applyFill="1" applyBorder="1" applyAlignment="1">
      <alignment horizontal="center" vertical="center"/>
    </xf>
    <xf numFmtId="0" fontId="12" fillId="2" borderId="1" xfId="0" applyFont="1" applyFill="1" applyBorder="1" applyAlignment="1">
      <alignment horizontal="center" vertical="center"/>
    </xf>
    <xf numFmtId="0" fontId="14" fillId="3" borderId="1" xfId="0" applyFont="1" applyFill="1" applyBorder="1" applyAlignment="1">
      <alignment horizontal="center" vertical="center"/>
    </xf>
    <xf numFmtId="0" fontId="12" fillId="6" borderId="1" xfId="0" applyFont="1" applyFill="1" applyBorder="1" applyAlignment="1">
      <alignment horizontal="center"/>
    </xf>
    <xf numFmtId="0" fontId="12" fillId="5" borderId="1" xfId="0" applyFont="1" applyFill="1" applyBorder="1" applyAlignment="1">
      <alignment horizontal="center"/>
    </xf>
    <xf numFmtId="0" fontId="14" fillId="2" borderId="1" xfId="0" applyFont="1" applyFill="1" applyBorder="1" applyAlignment="1">
      <alignment horizontal="center" vertical="center"/>
    </xf>
    <xf numFmtId="0" fontId="15" fillId="3" borderId="1" xfId="0" applyFont="1" applyFill="1" applyBorder="1" applyAlignment="1">
      <alignment horizontal="center" vertical="center"/>
    </xf>
    <xf numFmtId="0" fontId="12" fillId="4" borderId="1" xfId="0" applyFont="1" applyFill="1" applyBorder="1" applyAlignment="1">
      <alignment horizontal="center"/>
    </xf>
    <xf numFmtId="0" fontId="12" fillId="0" borderId="1" xfId="4" applyFont="1" applyBorder="1" applyAlignment="1">
      <alignment horizontal="center"/>
    </xf>
    <xf numFmtId="0" fontId="14" fillId="5" borderId="1" xfId="6" applyFont="1" applyFill="1" applyBorder="1" applyAlignment="1">
      <alignment horizontal="center" vertical="center" wrapText="1"/>
    </xf>
    <xf numFmtId="0" fontId="14" fillId="5" borderId="1" xfId="6" applyFont="1" applyFill="1" applyBorder="1" applyAlignment="1">
      <alignment horizontal="center" vertical="top" wrapText="1"/>
    </xf>
    <xf numFmtId="0" fontId="14" fillId="5" borderId="1" xfId="6" applyFont="1" applyFill="1" applyBorder="1" applyAlignment="1">
      <alignment horizontal="center"/>
    </xf>
    <xf numFmtId="166" fontId="14" fillId="5" borderId="1" xfId="6" applyNumberFormat="1" applyFont="1" applyFill="1" applyBorder="1" applyAlignment="1">
      <alignment horizontal="center"/>
    </xf>
    <xf numFmtId="43" fontId="14" fillId="5" borderId="1" xfId="3" applyFont="1" applyFill="1" applyBorder="1" applyAlignment="1">
      <alignment horizontal="center"/>
    </xf>
    <xf numFmtId="43" fontId="14" fillId="5" borderId="1" xfId="6" applyNumberFormat="1" applyFont="1" applyFill="1" applyBorder="1" applyAlignment="1">
      <alignment horizontal="center"/>
    </xf>
    <xf numFmtId="0" fontId="12" fillId="5" borderId="1" xfId="4" applyFont="1" applyFill="1" applyBorder="1" applyAlignment="1">
      <alignment horizontal="center"/>
    </xf>
    <xf numFmtId="9" fontId="14" fillId="5" borderId="1" xfId="1" applyNumberFormat="1" applyFont="1" applyFill="1" applyBorder="1" applyAlignment="1">
      <alignment horizontal="center"/>
    </xf>
    <xf numFmtId="0" fontId="12" fillId="5" borderId="0" xfId="4" applyFont="1" applyFill="1" applyAlignment="1">
      <alignment horizontal="center"/>
    </xf>
    <xf numFmtId="0" fontId="17" fillId="4" borderId="1" xfId="6" applyFont="1" applyFill="1" applyBorder="1" applyAlignment="1">
      <alignment horizontal="center" vertical="top"/>
    </xf>
    <xf numFmtId="0" fontId="16" fillId="5" borderId="1" xfId="4" applyFont="1" applyFill="1" applyBorder="1" applyAlignment="1">
      <alignment horizontal="center"/>
    </xf>
    <xf numFmtId="0" fontId="14" fillId="6" borderId="1" xfId="6" applyFont="1" applyFill="1" applyBorder="1" applyAlignment="1">
      <alignment horizontal="center" vertical="center" wrapText="1"/>
    </xf>
    <xf numFmtId="43" fontId="14" fillId="5" borderId="1" xfId="6" applyNumberFormat="1" applyFont="1" applyFill="1" applyBorder="1" applyAlignment="1">
      <alignment horizontal="center" vertical="center"/>
    </xf>
    <xf numFmtId="0" fontId="16" fillId="4" borderId="1" xfId="4" applyFont="1" applyFill="1" applyBorder="1" applyAlignment="1">
      <alignment horizontal="center"/>
    </xf>
    <xf numFmtId="9" fontId="15" fillId="5" borderId="1" xfId="1" applyFont="1" applyFill="1" applyBorder="1" applyAlignment="1">
      <alignment horizontal="center"/>
    </xf>
    <xf numFmtId="9" fontId="18" fillId="5" borderId="1" xfId="1" applyNumberFormat="1" applyFont="1" applyFill="1" applyBorder="1" applyAlignment="1">
      <alignment horizontal="center" vertical="center"/>
    </xf>
    <xf numFmtId="165" fontId="12" fillId="0" borderId="1" xfId="4" applyNumberFormat="1" applyFont="1" applyBorder="1" applyAlignment="1">
      <alignment horizontal="center"/>
    </xf>
    <xf numFmtId="164" fontId="14" fillId="5" borderId="1" xfId="1" applyNumberFormat="1" applyFont="1" applyFill="1" applyBorder="1" applyAlignment="1">
      <alignment horizontal="center"/>
    </xf>
    <xf numFmtId="0" fontId="12" fillId="5" borderId="0" xfId="4" applyFont="1" applyFill="1" applyBorder="1" applyAlignment="1">
      <alignment horizontal="center"/>
    </xf>
    <xf numFmtId="9" fontId="14" fillId="5" borderId="0" xfId="1" applyNumberFormat="1" applyFont="1" applyFill="1" applyBorder="1" applyAlignment="1">
      <alignment horizontal="center"/>
    </xf>
    <xf numFmtId="0" fontId="12" fillId="0" borderId="0" xfId="1" applyNumberFormat="1" applyFont="1" applyBorder="1" applyAlignment="1">
      <alignment horizontal="center"/>
    </xf>
    <xf numFmtId="2" fontId="12" fillId="0" borderId="0" xfId="1" applyNumberFormat="1" applyFont="1" applyBorder="1" applyAlignment="1">
      <alignment horizontal="center"/>
    </xf>
    <xf numFmtId="0" fontId="12" fillId="4" borderId="1" xfId="6" applyFont="1" applyFill="1" applyBorder="1" applyAlignment="1">
      <alignment horizontal="center" vertical="center"/>
    </xf>
    <xf numFmtId="0" fontId="12" fillId="5" borderId="1" xfId="6" applyFont="1" applyFill="1" applyBorder="1" applyAlignment="1">
      <alignment horizontal="center" vertical="center" wrapText="1"/>
    </xf>
    <xf numFmtId="0" fontId="12" fillId="0" borderId="0" xfId="0" applyFont="1"/>
    <xf numFmtId="0" fontId="12" fillId="5" borderId="1" xfId="6" applyFont="1" applyFill="1" applyBorder="1" applyAlignment="1">
      <alignment horizontal="center" vertical="center"/>
    </xf>
    <xf numFmtId="0" fontId="15" fillId="5" borderId="1" xfId="6" applyFont="1" applyFill="1" applyBorder="1" applyAlignment="1">
      <alignment horizontal="center" vertical="center"/>
    </xf>
    <xf numFmtId="0" fontId="12" fillId="0" borderId="1" xfId="0" applyFont="1" applyBorder="1"/>
    <xf numFmtId="10" fontId="14" fillId="5" borderId="1" xfId="1" applyNumberFormat="1" applyFont="1" applyFill="1" applyBorder="1" applyAlignment="1">
      <alignment horizontal="center" vertical="center"/>
    </xf>
    <xf numFmtId="0" fontId="12" fillId="0" borderId="15" xfId="0" applyFont="1" applyBorder="1" applyAlignment="1">
      <alignment horizontal="center"/>
    </xf>
    <xf numFmtId="0" fontId="18" fillId="5" borderId="1" xfId="6" applyFont="1" applyFill="1" applyBorder="1" applyAlignment="1">
      <alignment horizontal="center" vertical="center"/>
    </xf>
    <xf numFmtId="164" fontId="14" fillId="5" borderId="1" xfId="6" applyNumberFormat="1" applyFont="1" applyFill="1" applyBorder="1" applyAlignment="1">
      <alignment horizontal="center"/>
    </xf>
    <xf numFmtId="0" fontId="13" fillId="4" borderId="1" xfId="6" applyFont="1" applyFill="1" applyBorder="1" applyAlignment="1">
      <alignment horizontal="center" vertical="center"/>
    </xf>
    <xf numFmtId="167" fontId="12" fillId="0" borderId="1" xfId="0" applyNumberFormat="1" applyFont="1" applyBorder="1"/>
    <xf numFmtId="164" fontId="12" fillId="0" borderId="1" xfId="1" applyNumberFormat="1" applyFont="1" applyBorder="1" applyAlignment="1">
      <alignment horizontal="center"/>
    </xf>
    <xf numFmtId="164" fontId="15" fillId="5" borderId="1" xfId="1" applyNumberFormat="1" applyFont="1" applyFill="1" applyBorder="1" applyAlignment="1">
      <alignment horizontal="center" vertical="center"/>
    </xf>
    <xf numFmtId="168" fontId="12" fillId="0" borderId="1" xfId="0" applyNumberFormat="1" applyFont="1" applyBorder="1" applyAlignment="1">
      <alignment horizontal="center"/>
    </xf>
    <xf numFmtId="164" fontId="12" fillId="0" borderId="1" xfId="0" applyNumberFormat="1" applyFont="1" applyBorder="1" applyAlignment="1">
      <alignment horizontal="center"/>
    </xf>
    <xf numFmtId="43" fontId="10" fillId="3" borderId="0" xfId="9" applyFont="1" applyFill="1" applyBorder="1" applyAlignment="1">
      <alignment horizontal="center" vertical="center"/>
    </xf>
    <xf numFmtId="43" fontId="10" fillId="2" borderId="0" xfId="9" applyFont="1" applyFill="1" applyBorder="1" applyAlignment="1">
      <alignment horizontal="center" vertical="center"/>
    </xf>
    <xf numFmtId="43" fontId="9" fillId="0" borderId="0" xfId="6" applyNumberFormat="1" applyFont="1"/>
    <xf numFmtId="0" fontId="14" fillId="0" borderId="1" xfId="6" applyFont="1" applyBorder="1" applyAlignment="1">
      <alignment horizontal="center"/>
    </xf>
    <xf numFmtId="9" fontId="14" fillId="0" borderId="1" xfId="1" applyFont="1" applyBorder="1" applyAlignment="1">
      <alignment horizontal="center"/>
    </xf>
    <xf numFmtId="169" fontId="14" fillId="0" borderId="1" xfId="6" applyNumberFormat="1" applyFont="1" applyBorder="1" applyAlignment="1">
      <alignment horizontal="center"/>
    </xf>
    <xf numFmtId="0" fontId="14" fillId="5" borderId="0" xfId="6" applyFont="1" applyFill="1" applyBorder="1" applyAlignment="1">
      <alignment horizontal="center" vertical="center"/>
    </xf>
    <xf numFmtId="10" fontId="14" fillId="5" borderId="0" xfId="1" applyNumberFormat="1" applyFont="1" applyFill="1" applyBorder="1" applyAlignment="1">
      <alignment horizontal="center" vertical="center"/>
    </xf>
    <xf numFmtId="0" fontId="12" fillId="6" borderId="1" xfId="0" applyFont="1" applyFill="1" applyBorder="1" applyAlignment="1">
      <alignment vertical="center"/>
    </xf>
    <xf numFmtId="43" fontId="12" fillId="6" borderId="1" xfId="0" applyNumberFormat="1" applyFont="1" applyFill="1" applyBorder="1" applyAlignment="1">
      <alignment vertical="center"/>
    </xf>
    <xf numFmtId="0" fontId="12" fillId="6" borderId="1" xfId="6" applyFont="1" applyFill="1" applyBorder="1" applyAlignment="1">
      <alignment horizontal="center" vertical="center"/>
    </xf>
    <xf numFmtId="43" fontId="12" fillId="0" borderId="1" xfId="3" applyFont="1" applyBorder="1" applyAlignment="1">
      <alignment horizontal="center"/>
    </xf>
    <xf numFmtId="43" fontId="14" fillId="5" borderId="1" xfId="3" applyFont="1" applyFill="1" applyBorder="1" applyAlignment="1">
      <alignment vertical="center"/>
    </xf>
    <xf numFmtId="169" fontId="12" fillId="0" borderId="1" xfId="0" applyNumberFormat="1" applyFont="1" applyBorder="1" applyAlignment="1">
      <alignment horizontal="center"/>
    </xf>
    <xf numFmtId="165" fontId="12" fillId="0" borderId="1" xfId="3" applyNumberFormat="1" applyFont="1" applyBorder="1" applyAlignment="1">
      <alignment horizontal="center"/>
    </xf>
    <xf numFmtId="10" fontId="12" fillId="0" borderId="1" xfId="0" applyNumberFormat="1" applyFont="1" applyBorder="1" applyAlignment="1">
      <alignment horizontal="center"/>
    </xf>
    <xf numFmtId="9" fontId="12" fillId="5" borderId="1" xfId="0" applyNumberFormat="1" applyFont="1" applyFill="1" applyBorder="1" applyAlignment="1">
      <alignment horizontal="center"/>
    </xf>
    <xf numFmtId="164" fontId="15" fillId="5" borderId="1" xfId="1" applyNumberFormat="1" applyFont="1" applyFill="1" applyBorder="1" applyAlignment="1">
      <alignment horizontal="center"/>
    </xf>
    <xf numFmtId="164" fontId="12" fillId="0" borderId="1" xfId="1" applyNumberFormat="1" applyFont="1" applyBorder="1" applyAlignment="1">
      <alignment horizontal="center" vertical="center"/>
    </xf>
    <xf numFmtId="0" fontId="20" fillId="0" borderId="0" xfId="0" applyFont="1"/>
    <xf numFmtId="2" fontId="20" fillId="0" borderId="0" xfId="0" applyNumberFormat="1" applyFont="1"/>
    <xf numFmtId="2" fontId="12" fillId="0" borderId="1" xfId="0" applyNumberFormat="1" applyFont="1" applyBorder="1" applyAlignment="1">
      <alignment horizontal="center"/>
    </xf>
    <xf numFmtId="1" fontId="12" fillId="0" borderId="1" xfId="0" applyNumberFormat="1" applyFont="1" applyBorder="1" applyAlignment="1">
      <alignment horizontal="center"/>
    </xf>
    <xf numFmtId="0" fontId="20" fillId="4" borderId="0" xfId="0" applyFont="1" applyFill="1"/>
    <xf numFmtId="0" fontId="20" fillId="13" borderId="0" xfId="0" applyFont="1" applyFill="1" applyAlignment="1">
      <alignment horizontal="left"/>
    </xf>
    <xf numFmtId="165" fontId="12" fillId="0" borderId="1" xfId="0" applyNumberFormat="1" applyFont="1" applyBorder="1" applyAlignment="1">
      <alignment horizontal="center"/>
    </xf>
    <xf numFmtId="165" fontId="12" fillId="0" borderId="1" xfId="9" applyNumberFormat="1" applyFont="1" applyBorder="1" applyAlignment="1">
      <alignment horizontal="center"/>
    </xf>
    <xf numFmtId="165" fontId="12" fillId="0" borderId="1" xfId="0" applyNumberFormat="1" applyFont="1" applyBorder="1"/>
    <xf numFmtId="165" fontId="14" fillId="0" borderId="1" xfId="3" applyNumberFormat="1" applyFont="1" applyBorder="1" applyAlignment="1">
      <alignment horizontal="center"/>
    </xf>
    <xf numFmtId="0" fontId="20" fillId="14" borderId="22" xfId="0" applyFont="1" applyFill="1" applyBorder="1" applyAlignment="1">
      <alignment horizontal="center"/>
    </xf>
    <xf numFmtId="0" fontId="20" fillId="0" borderId="2" xfId="0" applyFont="1" applyBorder="1" applyAlignment="1">
      <alignment horizontal="center"/>
    </xf>
    <xf numFmtId="0" fontId="20" fillId="0" borderId="17" xfId="0" applyFont="1" applyBorder="1" applyAlignment="1">
      <alignment horizontal="center"/>
    </xf>
    <xf numFmtId="0" fontId="20" fillId="14" borderId="23" xfId="0" applyFont="1" applyFill="1" applyBorder="1" applyAlignment="1">
      <alignment horizontal="center"/>
    </xf>
    <xf numFmtId="165" fontId="20" fillId="0" borderId="0" xfId="3" applyNumberFormat="1" applyFont="1" applyBorder="1" applyAlignment="1">
      <alignment horizontal="center"/>
    </xf>
    <xf numFmtId="165" fontId="20" fillId="0" borderId="0" xfId="0" applyNumberFormat="1" applyFont="1" applyAlignment="1">
      <alignment horizontal="center"/>
    </xf>
    <xf numFmtId="165" fontId="20" fillId="0" borderId="16" xfId="0" applyNumberFormat="1" applyFont="1" applyBorder="1" applyAlignment="1">
      <alignment horizontal="center"/>
    </xf>
    <xf numFmtId="0" fontId="20" fillId="0" borderId="0" xfId="0" applyFont="1" applyAlignment="1">
      <alignment horizontal="center"/>
    </xf>
    <xf numFmtId="0" fontId="20" fillId="0" borderId="16" xfId="0" applyFont="1" applyBorder="1" applyAlignment="1">
      <alignment horizontal="center"/>
    </xf>
    <xf numFmtId="0" fontId="20" fillId="14" borderId="24" xfId="0" applyFont="1" applyFill="1" applyBorder="1" applyAlignment="1">
      <alignment horizontal="center"/>
    </xf>
    <xf numFmtId="165" fontId="20" fillId="0" borderId="25" xfId="0" applyNumberFormat="1" applyFont="1" applyBorder="1" applyAlignment="1">
      <alignment horizontal="center"/>
    </xf>
    <xf numFmtId="165" fontId="20" fillId="0" borderId="26" xfId="0" applyNumberFormat="1" applyFont="1" applyBorder="1" applyAlignment="1">
      <alignment horizontal="center"/>
    </xf>
    <xf numFmtId="43" fontId="20" fillId="0" borderId="0" xfId="3" applyNumberFormat="1" applyFont="1" applyBorder="1" applyAlignment="1">
      <alignment horizontal="center"/>
    </xf>
    <xf numFmtId="43" fontId="20" fillId="0" borderId="16" xfId="3" applyNumberFormat="1" applyFont="1" applyBorder="1" applyAlignment="1">
      <alignment horizontal="center"/>
    </xf>
    <xf numFmtId="0" fontId="0" fillId="15" borderId="22" xfId="0" applyFill="1" applyBorder="1"/>
    <xf numFmtId="9" fontId="0" fillId="0" borderId="17" xfId="0" applyNumberFormat="1" applyBorder="1"/>
    <xf numFmtId="0" fontId="0" fillId="15" borderId="23" xfId="0" applyFill="1" applyBorder="1"/>
    <xf numFmtId="9" fontId="0" fillId="0" borderId="16" xfId="0" applyNumberFormat="1" applyBorder="1"/>
    <xf numFmtId="2" fontId="0" fillId="0" borderId="16" xfId="0" applyNumberFormat="1" applyBorder="1"/>
    <xf numFmtId="0" fontId="0" fillId="15" borderId="24" xfId="0" applyFill="1" applyBorder="1"/>
    <xf numFmtId="9" fontId="0" fillId="0" borderId="26" xfId="1" applyFont="1" applyBorder="1"/>
    <xf numFmtId="0" fontId="20" fillId="0" borderId="0" xfId="0" applyFont="1" applyAlignment="1">
      <alignment readingOrder="2"/>
    </xf>
    <xf numFmtId="0" fontId="20" fillId="0" borderId="1" xfId="0" applyFont="1" applyBorder="1" applyAlignment="1">
      <alignment readingOrder="2"/>
    </xf>
    <xf numFmtId="0" fontId="20" fillId="0" borderId="13" xfId="0" applyFont="1" applyBorder="1"/>
    <xf numFmtId="0" fontId="20" fillId="0" borderId="0" xfId="0" applyFont="1" applyAlignment="1">
      <alignment readingOrder="1"/>
    </xf>
    <xf numFmtId="0" fontId="20" fillId="0" borderId="1" xfId="0" applyFont="1" applyBorder="1" applyAlignment="1">
      <alignment readingOrder="1"/>
    </xf>
    <xf numFmtId="0" fontId="20" fillId="0" borderId="13" xfId="0" applyFont="1" applyBorder="1" applyAlignment="1">
      <alignment readingOrder="1"/>
    </xf>
    <xf numFmtId="0" fontId="20" fillId="0" borderId="1" xfId="0" applyFont="1" applyBorder="1" applyAlignment="1">
      <alignment horizontal="center" readingOrder="1"/>
    </xf>
    <xf numFmtId="0" fontId="20" fillId="0" borderId="1" xfId="0" applyFont="1" applyBorder="1" applyAlignment="1">
      <alignment horizontal="center" readingOrder="2"/>
    </xf>
    <xf numFmtId="9" fontId="20" fillId="0" borderId="1" xfId="0" applyNumberFormat="1" applyFont="1" applyBorder="1" applyAlignment="1">
      <alignment readingOrder="2"/>
    </xf>
    <xf numFmtId="0" fontId="20" fillId="0" borderId="0" xfId="0" applyFont="1" applyBorder="1" applyAlignment="1">
      <alignment readingOrder="2"/>
    </xf>
    <xf numFmtId="9" fontId="20" fillId="0" borderId="0" xfId="0" applyNumberFormat="1" applyFont="1" applyBorder="1" applyAlignment="1">
      <alignment readingOrder="2"/>
    </xf>
    <xf numFmtId="0" fontId="20" fillId="15" borderId="22" xfId="0" applyFont="1" applyFill="1" applyBorder="1" applyAlignment="1">
      <alignment horizontal="center" readingOrder="2"/>
    </xf>
    <xf numFmtId="0" fontId="20" fillId="15" borderId="23" xfId="0" applyFont="1" applyFill="1" applyBorder="1" applyAlignment="1">
      <alignment horizontal="center" readingOrder="2"/>
    </xf>
    <xf numFmtId="1" fontId="20" fillId="0" borderId="16" xfId="0" applyNumberFormat="1" applyFont="1" applyBorder="1" applyAlignment="1">
      <alignment readingOrder="2"/>
    </xf>
    <xf numFmtId="0" fontId="20" fillId="15" borderId="24" xfId="0" applyFont="1" applyFill="1" applyBorder="1" applyAlignment="1">
      <alignment horizontal="center" readingOrder="2"/>
    </xf>
    <xf numFmtId="2" fontId="20" fillId="0" borderId="1" xfId="0" applyNumberFormat="1" applyFont="1" applyBorder="1" applyAlignment="1">
      <alignment readingOrder="2"/>
    </xf>
    <xf numFmtId="2" fontId="20" fillId="0" borderId="1" xfId="0" applyNumberFormat="1" applyFont="1" applyBorder="1" applyAlignment="1">
      <alignment readingOrder="1"/>
    </xf>
    <xf numFmtId="2" fontId="20" fillId="0" borderId="0" xfId="0" applyNumberFormat="1" applyFont="1" applyAlignment="1">
      <alignment readingOrder="1"/>
    </xf>
    <xf numFmtId="2" fontId="20" fillId="0" borderId="15" xfId="0" applyNumberFormat="1" applyFont="1" applyBorder="1" applyAlignment="1">
      <alignment readingOrder="1"/>
    </xf>
    <xf numFmtId="2" fontId="20" fillId="0" borderId="17" xfId="0" applyNumberFormat="1" applyFont="1" applyBorder="1" applyAlignment="1">
      <alignment readingOrder="2"/>
    </xf>
    <xf numFmtId="2" fontId="20" fillId="0" borderId="15" xfId="0" applyNumberFormat="1" applyFont="1" applyBorder="1"/>
    <xf numFmtId="10" fontId="20" fillId="0" borderId="0" xfId="1" applyNumberFormat="1" applyFont="1"/>
    <xf numFmtId="0" fontId="20" fillId="15" borderId="22" xfId="0" applyFont="1" applyFill="1" applyBorder="1" applyAlignment="1">
      <alignment horizontal="center"/>
    </xf>
    <xf numFmtId="0" fontId="20" fillId="0" borderId="2" xfId="0" applyFont="1" applyBorder="1"/>
    <xf numFmtId="0" fontId="20" fillId="0" borderId="17" xfId="0" applyFont="1" applyBorder="1"/>
    <xf numFmtId="0" fontId="20" fillId="15" borderId="23" xfId="0" applyFont="1" applyFill="1" applyBorder="1" applyAlignment="1">
      <alignment horizontal="center"/>
    </xf>
    <xf numFmtId="165" fontId="20" fillId="0" borderId="0" xfId="3" applyNumberFormat="1" applyFont="1" applyBorder="1"/>
    <xf numFmtId="165" fontId="20" fillId="0" borderId="16" xfId="3" applyNumberFormat="1" applyFont="1" applyBorder="1"/>
    <xf numFmtId="9" fontId="20" fillId="0" borderId="0" xfId="0" applyNumberFormat="1" applyFont="1" applyBorder="1"/>
    <xf numFmtId="9" fontId="20" fillId="0" borderId="16" xfId="0" applyNumberFormat="1" applyFont="1" applyBorder="1"/>
    <xf numFmtId="165" fontId="20" fillId="0" borderId="0" xfId="0" applyNumberFormat="1" applyFont="1" applyBorder="1"/>
    <xf numFmtId="165" fontId="20" fillId="0" borderId="16" xfId="0" applyNumberFormat="1" applyFont="1" applyBorder="1"/>
    <xf numFmtId="0" fontId="20" fillId="15" borderId="24" xfId="0" applyFont="1" applyFill="1" applyBorder="1" applyAlignment="1">
      <alignment horizontal="center"/>
    </xf>
    <xf numFmtId="0" fontId="20" fillId="0" borderId="25" xfId="0" applyFont="1" applyBorder="1"/>
    <xf numFmtId="10" fontId="20" fillId="0" borderId="25" xfId="1" applyNumberFormat="1" applyFont="1" applyBorder="1"/>
    <xf numFmtId="10" fontId="20" fillId="0" borderId="26" xfId="1" applyNumberFormat="1" applyFont="1" applyBorder="1"/>
    <xf numFmtId="9" fontId="20" fillId="0" borderId="15" xfId="0" applyNumberFormat="1" applyFont="1" applyBorder="1"/>
    <xf numFmtId="1" fontId="20" fillId="4" borderId="26" xfId="0" applyNumberFormat="1" applyFont="1" applyFill="1" applyBorder="1" applyAlignment="1">
      <alignment readingOrder="2"/>
    </xf>
    <xf numFmtId="0" fontId="20" fillId="5" borderId="13" xfId="0" applyFont="1" applyFill="1" applyBorder="1"/>
    <xf numFmtId="165" fontId="20" fillId="4" borderId="15" xfId="0" applyNumberFormat="1" applyFont="1" applyFill="1" applyBorder="1"/>
    <xf numFmtId="0" fontId="20" fillId="0" borderId="1" xfId="0" applyFont="1" applyBorder="1" applyAlignment="1">
      <alignment horizontal="center"/>
    </xf>
    <xf numFmtId="165" fontId="20" fillId="0" borderId="16" xfId="3" applyNumberFormat="1" applyFont="1" applyBorder="1" applyAlignment="1">
      <alignment horizontal="center"/>
    </xf>
    <xf numFmtId="0" fontId="20" fillId="0" borderId="22" xfId="0" applyFont="1" applyBorder="1" applyAlignment="1">
      <alignment horizontal="center"/>
    </xf>
    <xf numFmtId="0" fontId="20" fillId="0" borderId="23" xfId="0" applyFont="1" applyBorder="1" applyAlignment="1">
      <alignment horizontal="center"/>
    </xf>
    <xf numFmtId="0" fontId="20" fillId="0" borderId="0" xfId="0" applyFont="1" applyBorder="1"/>
    <xf numFmtId="0" fontId="20" fillId="0" borderId="24" xfId="0" applyFont="1" applyBorder="1" applyAlignment="1">
      <alignment horizontal="center"/>
    </xf>
    <xf numFmtId="1" fontId="20" fillId="0" borderId="0" xfId="0" applyNumberFormat="1" applyFont="1" applyBorder="1"/>
    <xf numFmtId="0" fontId="20" fillId="18" borderId="23" xfId="0" applyFont="1" applyFill="1" applyBorder="1" applyAlignment="1">
      <alignment horizontal="center"/>
    </xf>
    <xf numFmtId="0" fontId="20" fillId="0" borderId="4" xfId="0" applyFont="1" applyBorder="1"/>
    <xf numFmtId="0" fontId="20" fillId="0" borderId="29" xfId="0" applyFont="1" applyBorder="1"/>
    <xf numFmtId="0" fontId="20" fillId="0" borderId="6" xfId="0" applyFont="1" applyBorder="1"/>
    <xf numFmtId="0" fontId="20" fillId="0" borderId="30" xfId="0" applyFont="1" applyBorder="1"/>
    <xf numFmtId="0" fontId="20" fillId="0" borderId="7" xfId="0" applyFont="1" applyBorder="1"/>
    <xf numFmtId="0" fontId="20" fillId="0" borderId="31" xfId="0" applyFont="1" applyBorder="1"/>
    <xf numFmtId="0" fontId="20" fillId="0" borderId="5" xfId="0" applyFont="1" applyBorder="1"/>
    <xf numFmtId="0" fontId="20" fillId="0" borderId="8" xfId="0" applyFont="1" applyBorder="1"/>
    <xf numFmtId="0" fontId="20" fillId="0" borderId="9" xfId="0" applyFont="1" applyBorder="1"/>
    <xf numFmtId="0" fontId="20" fillId="0" borderId="4" xfId="0" applyFont="1" applyBorder="1" applyAlignment="1">
      <alignment readingOrder="2"/>
    </xf>
    <xf numFmtId="0" fontId="20" fillId="0" borderId="5" xfId="0" applyFont="1" applyBorder="1" applyAlignment="1">
      <alignment readingOrder="2"/>
    </xf>
    <xf numFmtId="0" fontId="20" fillId="0" borderId="29" xfId="0" applyFont="1" applyBorder="1" applyAlignment="1">
      <alignment readingOrder="2"/>
    </xf>
    <xf numFmtId="0" fontId="20" fillId="0" borderId="33" xfId="0" applyFont="1" applyBorder="1" applyAlignment="1">
      <alignment horizontal="center" readingOrder="2"/>
    </xf>
    <xf numFmtId="2" fontId="20" fillId="0" borderId="1" xfId="0" applyNumberFormat="1" applyFont="1" applyBorder="1" applyAlignment="1">
      <alignment horizontal="center" readingOrder="1"/>
    </xf>
    <xf numFmtId="9" fontId="20" fillId="0" borderId="1" xfId="0" applyNumberFormat="1" applyFont="1" applyBorder="1" applyAlignment="1">
      <alignment horizontal="center" readingOrder="2"/>
    </xf>
    <xf numFmtId="9" fontId="20" fillId="0" borderId="35" xfId="0" applyNumberFormat="1" applyFont="1" applyBorder="1" applyAlignment="1">
      <alignment readingOrder="2"/>
    </xf>
    <xf numFmtId="164" fontId="20" fillId="0" borderId="35" xfId="1" applyNumberFormat="1" applyFont="1" applyBorder="1" applyAlignment="1">
      <alignment readingOrder="2"/>
    </xf>
    <xf numFmtId="0" fontId="20" fillId="0" borderId="30" xfId="0" applyFont="1" applyBorder="1" applyAlignment="1">
      <alignment readingOrder="2"/>
    </xf>
    <xf numFmtId="10" fontId="20" fillId="0" borderId="1" xfId="0" applyNumberFormat="1" applyFont="1" applyBorder="1" applyAlignment="1">
      <alignment horizontal="center" readingOrder="2"/>
    </xf>
    <xf numFmtId="0" fontId="20" fillId="0" borderId="6" xfId="0" applyFont="1" applyBorder="1" applyAlignment="1">
      <alignment horizontal="center" readingOrder="2"/>
    </xf>
    <xf numFmtId="0" fontId="20" fillId="0" borderId="0" xfId="0" applyFont="1" applyAlignment="1">
      <alignment horizontal="center" readingOrder="2"/>
    </xf>
    <xf numFmtId="0" fontId="20" fillId="0" borderId="7" xfId="0" applyFont="1" applyBorder="1" applyAlignment="1">
      <alignment readingOrder="2"/>
    </xf>
    <xf numFmtId="0" fontId="20" fillId="0" borderId="8" xfId="0" applyFont="1" applyBorder="1" applyAlignment="1">
      <alignment readingOrder="2"/>
    </xf>
    <xf numFmtId="0" fontId="20" fillId="0" borderId="31" xfId="0" applyFont="1" applyBorder="1" applyAlignment="1">
      <alignment readingOrder="2"/>
    </xf>
    <xf numFmtId="0" fontId="20" fillId="0" borderId="1" xfId="0" applyFont="1" applyBorder="1"/>
    <xf numFmtId="9" fontId="20" fillId="0" borderId="1" xfId="0" applyNumberFormat="1" applyFont="1" applyBorder="1"/>
    <xf numFmtId="10" fontId="20" fillId="0" borderId="1" xfId="0" applyNumberFormat="1" applyFont="1" applyBorder="1"/>
    <xf numFmtId="0" fontId="20" fillId="0" borderId="0" xfId="0" applyFont="1" applyBorder="1" applyAlignment="1">
      <alignment horizontal="center" readingOrder="1"/>
    </xf>
    <xf numFmtId="164" fontId="20" fillId="0" borderId="0" xfId="1" applyNumberFormat="1" applyFont="1" applyBorder="1"/>
    <xf numFmtId="1" fontId="20" fillId="0" borderId="30" xfId="0" applyNumberFormat="1" applyFont="1" applyBorder="1"/>
    <xf numFmtId="0" fontId="0" fillId="0" borderId="1" xfId="0" applyBorder="1" applyAlignment="1">
      <alignment horizontal="center"/>
    </xf>
    <xf numFmtId="2" fontId="0" fillId="0" borderId="1" xfId="0" applyNumberFormat="1" applyBorder="1" applyAlignment="1">
      <alignment horizontal="center"/>
    </xf>
    <xf numFmtId="0" fontId="0" fillId="4" borderId="1" xfId="0" applyFill="1" applyBorder="1" applyAlignment="1">
      <alignment horizontal="center"/>
    </xf>
    <xf numFmtId="44" fontId="0" fillId="0" borderId="1" xfId="0" applyNumberFormat="1" applyBorder="1" applyAlignment="1">
      <alignment horizontal="center"/>
    </xf>
    <xf numFmtId="0" fontId="0" fillId="19" borderId="1" xfId="0" applyFill="1" applyBorder="1" applyAlignment="1">
      <alignment horizontal="center"/>
    </xf>
    <xf numFmtId="0" fontId="20" fillId="0" borderId="25" xfId="0" applyFont="1" applyBorder="1" applyAlignment="1">
      <alignment horizontal="center"/>
    </xf>
    <xf numFmtId="9" fontId="0" fillId="0" borderId="1" xfId="1" applyFont="1" applyBorder="1" applyAlignment="1">
      <alignment horizontal="center"/>
    </xf>
    <xf numFmtId="10" fontId="20" fillId="0" borderId="0" xfId="0" applyNumberFormat="1" applyFont="1" applyBorder="1"/>
    <xf numFmtId="0" fontId="23" fillId="16" borderId="28" xfId="11" applyBorder="1"/>
    <xf numFmtId="0" fontId="23" fillId="16" borderId="36" xfId="11" applyBorder="1"/>
    <xf numFmtId="164" fontId="20" fillId="0" borderId="30" xfId="1" applyNumberFormat="1" applyFont="1" applyBorder="1"/>
    <xf numFmtId="0" fontId="23" fillId="16" borderId="37" xfId="11" applyBorder="1"/>
    <xf numFmtId="165" fontId="20" fillId="0" borderId="30" xfId="3" applyNumberFormat="1" applyFont="1" applyBorder="1"/>
    <xf numFmtId="1" fontId="20" fillId="0" borderId="31" xfId="0" applyNumberFormat="1" applyFont="1" applyBorder="1"/>
    <xf numFmtId="164" fontId="20" fillId="0" borderId="8" xfId="1" applyNumberFormat="1" applyFont="1" applyBorder="1"/>
    <xf numFmtId="165" fontId="20" fillId="0" borderId="32" xfId="0" applyNumberFormat="1" applyFont="1" applyBorder="1"/>
    <xf numFmtId="9" fontId="20" fillId="0" borderId="32" xfId="0" applyNumberFormat="1" applyFont="1" applyBorder="1"/>
    <xf numFmtId="0" fontId="20" fillId="20" borderId="4" xfId="0" applyFont="1" applyFill="1" applyBorder="1"/>
    <xf numFmtId="0" fontId="20" fillId="20" borderId="6" xfId="0" applyFont="1" applyFill="1" applyBorder="1"/>
    <xf numFmtId="0" fontId="20" fillId="20" borderId="7" xfId="0" applyFont="1" applyFill="1" applyBorder="1"/>
    <xf numFmtId="165" fontId="20" fillId="0" borderId="29" xfId="3" applyNumberFormat="1" applyFont="1" applyBorder="1"/>
    <xf numFmtId="165" fontId="20" fillId="0" borderId="31" xfId="3" applyNumberFormat="1" applyFont="1" applyBorder="1"/>
    <xf numFmtId="165" fontId="20" fillId="0" borderId="32" xfId="3" applyNumberFormat="1" applyFont="1" applyBorder="1"/>
    <xf numFmtId="165" fontId="20" fillId="0" borderId="0" xfId="0" applyNumberFormat="1" applyFont="1"/>
    <xf numFmtId="0" fontId="20" fillId="0" borderId="27" xfId="0" applyFont="1" applyBorder="1" applyAlignment="1">
      <alignment horizontal="center" readingOrder="2"/>
    </xf>
    <xf numFmtId="10" fontId="20" fillId="0" borderId="1" xfId="1" applyNumberFormat="1" applyFont="1" applyBorder="1" applyAlignment="1">
      <alignment readingOrder="2"/>
    </xf>
    <xf numFmtId="0" fontId="20" fillId="15" borderId="0" xfId="0" applyFont="1" applyFill="1" applyAlignment="1">
      <alignment readingOrder="2"/>
    </xf>
    <xf numFmtId="0" fontId="24" fillId="0" borderId="0" xfId="0" applyFont="1" applyAlignment="1">
      <alignment horizontal="center"/>
    </xf>
    <xf numFmtId="0" fontId="20" fillId="17" borderId="2" xfId="0" applyFont="1" applyFill="1" applyBorder="1" applyAlignment="1">
      <alignment horizontal="center"/>
    </xf>
    <xf numFmtId="165" fontId="20" fillId="17" borderId="0" xfId="3" applyNumberFormat="1" applyFont="1" applyFill="1" applyBorder="1" applyAlignment="1">
      <alignment horizontal="center"/>
    </xf>
    <xf numFmtId="10" fontId="20" fillId="17" borderId="0" xfId="1" applyNumberFormat="1" applyFont="1" applyFill="1" applyBorder="1" applyAlignment="1">
      <alignment horizontal="center"/>
    </xf>
    <xf numFmtId="10" fontId="20" fillId="0" borderId="0" xfId="1" applyNumberFormat="1" applyFont="1" applyBorder="1" applyAlignment="1">
      <alignment horizontal="center"/>
    </xf>
    <xf numFmtId="10" fontId="20" fillId="0" borderId="16" xfId="1" applyNumberFormat="1" applyFont="1" applyBorder="1" applyAlignment="1">
      <alignment horizontal="center"/>
    </xf>
    <xf numFmtId="165" fontId="20" fillId="5" borderId="0" xfId="3" applyNumberFormat="1" applyFont="1" applyFill="1" applyBorder="1" applyAlignment="1">
      <alignment horizontal="center"/>
    </xf>
    <xf numFmtId="165" fontId="20" fillId="5" borderId="16" xfId="3" applyNumberFormat="1" applyFont="1" applyFill="1" applyBorder="1" applyAlignment="1">
      <alignment horizontal="center"/>
    </xf>
    <xf numFmtId="10" fontId="20" fillId="17" borderId="0" xfId="0" applyNumberFormat="1" applyFont="1" applyFill="1" applyBorder="1" applyAlignment="1">
      <alignment horizontal="center"/>
    </xf>
    <xf numFmtId="1" fontId="20" fillId="17" borderId="25" xfId="0" applyNumberFormat="1" applyFont="1" applyFill="1" applyBorder="1" applyAlignment="1">
      <alignment horizontal="center"/>
    </xf>
    <xf numFmtId="1" fontId="20" fillId="0" borderId="25" xfId="0" applyNumberFormat="1" applyFont="1" applyBorder="1" applyAlignment="1">
      <alignment horizontal="center"/>
    </xf>
    <xf numFmtId="1" fontId="20" fillId="0" borderId="26" xfId="0" applyNumberFormat="1" applyFont="1" applyBorder="1" applyAlignment="1">
      <alignment horizontal="center"/>
    </xf>
    <xf numFmtId="0" fontId="20" fillId="17" borderId="0" xfId="0" applyFont="1" applyFill="1" applyBorder="1" applyAlignment="1">
      <alignment horizontal="center"/>
    </xf>
    <xf numFmtId="0" fontId="20" fillId="0" borderId="0" xfId="0" applyFont="1" applyBorder="1" applyAlignment="1">
      <alignment horizontal="center"/>
    </xf>
    <xf numFmtId="2" fontId="20" fillId="0" borderId="0" xfId="0" applyNumberFormat="1" applyFont="1" applyBorder="1" applyAlignment="1">
      <alignment horizontal="center"/>
    </xf>
    <xf numFmtId="2" fontId="20" fillId="0" borderId="16" xfId="0" applyNumberFormat="1" applyFont="1" applyBorder="1" applyAlignment="1">
      <alignment horizontal="center"/>
    </xf>
    <xf numFmtId="43" fontId="20" fillId="17" borderId="0" xfId="3" applyNumberFormat="1" applyFont="1" applyFill="1" applyBorder="1" applyAlignment="1">
      <alignment horizontal="center"/>
    </xf>
    <xf numFmtId="165" fontId="20" fillId="17" borderId="25" xfId="3" applyNumberFormat="1" applyFont="1" applyFill="1" applyBorder="1" applyAlignment="1">
      <alignment horizontal="center"/>
    </xf>
    <xf numFmtId="165" fontId="20" fillId="0" borderId="25" xfId="3" applyNumberFormat="1" applyFont="1" applyBorder="1" applyAlignment="1">
      <alignment horizontal="center"/>
    </xf>
    <xf numFmtId="165" fontId="20" fillId="0" borderId="26" xfId="3" applyNumberFormat="1" applyFont="1" applyBorder="1" applyAlignment="1">
      <alignment horizontal="center"/>
    </xf>
    <xf numFmtId="1" fontId="20" fillId="0" borderId="0" xfId="0" applyNumberFormat="1" applyFont="1" applyBorder="1" applyAlignment="1">
      <alignment horizontal="center"/>
    </xf>
    <xf numFmtId="1" fontId="20" fillId="0" borderId="16" xfId="0" applyNumberFormat="1" applyFont="1" applyBorder="1" applyAlignment="1">
      <alignment horizontal="center"/>
    </xf>
    <xf numFmtId="43" fontId="20" fillId="0" borderId="0" xfId="3" applyFont="1" applyBorder="1" applyAlignment="1">
      <alignment horizontal="center"/>
    </xf>
    <xf numFmtId="43" fontId="20" fillId="0" borderId="16" xfId="3" applyFont="1" applyBorder="1" applyAlignment="1">
      <alignment horizontal="center"/>
    </xf>
    <xf numFmtId="0" fontId="20" fillId="0" borderId="29" xfId="0" applyFont="1" applyBorder="1" applyAlignment="1">
      <alignment horizontal="center"/>
    </xf>
    <xf numFmtId="0" fontId="20" fillId="15" borderId="6" xfId="0" applyFont="1" applyFill="1" applyBorder="1" applyAlignment="1">
      <alignment horizontal="center"/>
    </xf>
    <xf numFmtId="9" fontId="20" fillId="0" borderId="30" xfId="1" applyFont="1" applyBorder="1" applyAlignment="1">
      <alignment horizontal="center"/>
    </xf>
    <xf numFmtId="0" fontId="20" fillId="0" borderId="6" xfId="0" applyFont="1" applyBorder="1" applyAlignment="1">
      <alignment horizontal="center"/>
    </xf>
    <xf numFmtId="0" fontId="20" fillId="15" borderId="38" xfId="0" applyFont="1" applyFill="1" applyBorder="1" applyAlignment="1">
      <alignment horizontal="center"/>
    </xf>
    <xf numFmtId="165" fontId="20" fillId="0" borderId="39" xfId="3" applyNumberFormat="1" applyFont="1" applyBorder="1" applyAlignment="1">
      <alignment horizontal="center"/>
    </xf>
    <xf numFmtId="0" fontId="20" fillId="0" borderId="4" xfId="0" applyFont="1" applyBorder="1" applyAlignment="1">
      <alignment horizontal="center"/>
    </xf>
    <xf numFmtId="0" fontId="20" fillId="0" borderId="5" xfId="0" applyFont="1" applyBorder="1" applyAlignment="1">
      <alignment horizontal="center"/>
    </xf>
    <xf numFmtId="0" fontId="20" fillId="0" borderId="30" xfId="0" applyFont="1" applyBorder="1" applyAlignment="1">
      <alignment horizontal="center"/>
    </xf>
    <xf numFmtId="0" fontId="20" fillId="0" borderId="31" xfId="0" applyFont="1" applyBorder="1" applyAlignment="1">
      <alignment horizontal="center"/>
    </xf>
    <xf numFmtId="0" fontId="20" fillId="13" borderId="0" xfId="0" applyFont="1" applyFill="1" applyAlignment="1">
      <alignment horizontal="center"/>
    </xf>
    <xf numFmtId="0" fontId="20" fillId="0" borderId="7" xfId="0" applyFont="1" applyBorder="1" applyAlignment="1">
      <alignment horizontal="center"/>
    </xf>
    <xf numFmtId="0" fontId="20" fillId="0" borderId="9" xfId="0" applyFont="1" applyBorder="1" applyAlignment="1">
      <alignment horizontal="center"/>
    </xf>
    <xf numFmtId="9" fontId="20" fillId="0" borderId="32" xfId="1" applyFont="1" applyBorder="1"/>
    <xf numFmtId="165" fontId="20" fillId="0" borderId="8" xfId="3" applyNumberFormat="1" applyFont="1" applyBorder="1"/>
    <xf numFmtId="9" fontId="20" fillId="0" borderId="31" xfId="1" applyFont="1" applyBorder="1" applyAlignment="1">
      <alignment horizontal="center"/>
    </xf>
    <xf numFmtId="9" fontId="25" fillId="0" borderId="29" xfId="1" applyFont="1" applyBorder="1" applyAlignment="1">
      <alignment horizontal="center"/>
    </xf>
    <xf numFmtId="43" fontId="20" fillId="0" borderId="32" xfId="3" applyNumberFormat="1" applyFont="1" applyBorder="1"/>
    <xf numFmtId="164" fontId="12" fillId="0" borderId="0" xfId="1" applyNumberFormat="1" applyFont="1" applyBorder="1" applyAlignment="1">
      <alignment horizontal="center"/>
    </xf>
    <xf numFmtId="9" fontId="12" fillId="0" borderId="0" xfId="1" applyFont="1" applyAlignment="1">
      <alignment horizontal="center"/>
    </xf>
    <xf numFmtId="164" fontId="12" fillId="0" borderId="0" xfId="1" applyNumberFormat="1" applyFont="1" applyAlignment="1">
      <alignment horizontal="center"/>
    </xf>
    <xf numFmtId="9" fontId="20" fillId="0" borderId="0" xfId="0" applyNumberFormat="1" applyFont="1" applyBorder="1" applyAlignment="1">
      <alignment horizontal="center"/>
    </xf>
    <xf numFmtId="9" fontId="20" fillId="0" borderId="16" xfId="0" applyNumberFormat="1" applyFont="1" applyBorder="1" applyAlignment="1">
      <alignment horizontal="center"/>
    </xf>
    <xf numFmtId="10" fontId="20" fillId="0" borderId="25" xfId="1" applyNumberFormat="1" applyFont="1" applyBorder="1" applyAlignment="1">
      <alignment horizontal="center"/>
    </xf>
    <xf numFmtId="10" fontId="20" fillId="0" borderId="26" xfId="1" applyNumberFormat="1" applyFont="1" applyBorder="1" applyAlignment="1">
      <alignment horizontal="center"/>
    </xf>
    <xf numFmtId="43" fontId="20" fillId="0" borderId="0" xfId="0" applyNumberFormat="1" applyFont="1" applyBorder="1" applyAlignment="1">
      <alignment horizontal="center"/>
    </xf>
    <xf numFmtId="43" fontId="20" fillId="0" borderId="16" xfId="0" applyNumberFormat="1" applyFont="1" applyBorder="1" applyAlignment="1">
      <alignment horizontal="center"/>
    </xf>
    <xf numFmtId="43" fontId="12" fillId="0" borderId="0" xfId="0" applyNumberFormat="1" applyFont="1"/>
    <xf numFmtId="0" fontId="20" fillId="5" borderId="13" xfId="0" applyFont="1" applyFill="1" applyBorder="1" applyAlignment="1">
      <alignment horizontal="center"/>
    </xf>
    <xf numFmtId="165" fontId="20" fillId="0" borderId="1" xfId="0" applyNumberFormat="1" applyFont="1" applyBorder="1"/>
    <xf numFmtId="165" fontId="20" fillId="0" borderId="1" xfId="0" applyNumberFormat="1" applyFont="1" applyBorder="1" applyAlignment="1">
      <alignment horizontal="center"/>
    </xf>
    <xf numFmtId="9" fontId="20" fillId="0" borderId="1" xfId="1" applyFont="1" applyBorder="1" applyAlignment="1">
      <alignment horizontal="center"/>
    </xf>
    <xf numFmtId="165" fontId="20" fillId="0" borderId="1" xfId="3" applyNumberFormat="1" applyFont="1" applyBorder="1"/>
    <xf numFmtId="165" fontId="12" fillId="0" borderId="1" xfId="3" applyNumberFormat="1" applyFont="1" applyBorder="1"/>
    <xf numFmtId="43" fontId="20" fillId="0" borderId="39" xfId="3" applyNumberFormat="1" applyFont="1" applyBorder="1" applyAlignment="1">
      <alignment horizontal="center"/>
    </xf>
    <xf numFmtId="0" fontId="12" fillId="0" borderId="1" xfId="12" applyFont="1" applyBorder="1" applyAlignment="1">
      <alignment horizontal="center"/>
    </xf>
    <xf numFmtId="0" fontId="12" fillId="0" borderId="0" xfId="12" applyFont="1"/>
    <xf numFmtId="165" fontId="12" fillId="0" borderId="1" xfId="14" applyNumberFormat="1" applyFont="1" applyBorder="1" applyAlignment="1">
      <alignment horizontal="center"/>
    </xf>
    <xf numFmtId="164" fontId="12" fillId="0" borderId="1" xfId="13" applyNumberFormat="1" applyFont="1" applyBorder="1" applyAlignment="1">
      <alignment horizontal="center"/>
    </xf>
    <xf numFmtId="10" fontId="12" fillId="0" borderId="1" xfId="13" applyNumberFormat="1" applyFont="1" applyBorder="1" applyAlignment="1">
      <alignment horizontal="center"/>
    </xf>
    <xf numFmtId="10" fontId="12" fillId="0" borderId="1" xfId="12" applyNumberFormat="1" applyFont="1" applyBorder="1" applyAlignment="1">
      <alignment horizontal="center"/>
    </xf>
    <xf numFmtId="0" fontId="14" fillId="14" borderId="1" xfId="6" applyFont="1" applyFill="1" applyBorder="1" applyAlignment="1">
      <alignment horizontal="center" vertical="center"/>
    </xf>
    <xf numFmtId="10" fontId="12" fillId="14" borderId="1" xfId="13" applyNumberFormat="1" applyFont="1" applyFill="1" applyBorder="1" applyAlignment="1">
      <alignment horizontal="center"/>
    </xf>
    <xf numFmtId="10" fontId="12" fillId="5" borderId="1" xfId="13" applyNumberFormat="1" applyFont="1" applyFill="1" applyBorder="1" applyAlignment="1">
      <alignment horizontal="center"/>
    </xf>
    <xf numFmtId="10" fontId="14" fillId="14" borderId="1" xfId="13" applyNumberFormat="1" applyFont="1" applyFill="1" applyBorder="1" applyAlignment="1">
      <alignment horizontal="center" vertical="center"/>
    </xf>
    <xf numFmtId="0" fontId="12" fillId="5" borderId="1" xfId="12" applyFont="1" applyFill="1" applyBorder="1" applyAlignment="1">
      <alignment horizontal="center"/>
    </xf>
    <xf numFmtId="10" fontId="14" fillId="5" borderId="1" xfId="13" applyNumberFormat="1" applyFont="1" applyFill="1" applyBorder="1" applyAlignment="1">
      <alignment horizontal="center" vertical="center"/>
    </xf>
    <xf numFmtId="9" fontId="12" fillId="5" borderId="1" xfId="13" applyFont="1" applyFill="1" applyBorder="1" applyAlignment="1">
      <alignment horizontal="center"/>
    </xf>
    <xf numFmtId="10" fontId="12" fillId="0" borderId="0" xfId="13" applyNumberFormat="1" applyFont="1"/>
    <xf numFmtId="9" fontId="12" fillId="0" borderId="1" xfId="13" applyFont="1" applyBorder="1" applyAlignment="1">
      <alignment horizontal="center"/>
    </xf>
    <xf numFmtId="0" fontId="12" fillId="14" borderId="1" xfId="12" applyFont="1" applyFill="1" applyBorder="1" applyAlignment="1">
      <alignment horizontal="center"/>
    </xf>
    <xf numFmtId="164" fontId="14" fillId="14" borderId="1" xfId="13" applyNumberFormat="1" applyFont="1" applyFill="1" applyBorder="1" applyAlignment="1">
      <alignment horizontal="center" vertical="center"/>
    </xf>
    <xf numFmtId="0" fontId="13" fillId="0" borderId="1" xfId="0" applyFont="1" applyFill="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Border="1" applyAlignment="1">
      <alignment horizontal="center" vertical="center" readingOrder="2"/>
    </xf>
    <xf numFmtId="43" fontId="14" fillId="0" borderId="1" xfId="0" applyNumberFormat="1" applyFont="1" applyFill="1" applyBorder="1" applyAlignment="1">
      <alignment horizontal="center" vertical="center"/>
    </xf>
    <xf numFmtId="0" fontId="18" fillId="0" borderId="1" xfId="0" applyFont="1" applyFill="1" applyBorder="1" applyAlignment="1">
      <alignment horizontal="center" vertical="center"/>
    </xf>
    <xf numFmtId="2" fontId="14" fillId="0" borderId="1" xfId="8" applyNumberFormat="1" applyFont="1" applyFill="1" applyBorder="1" applyAlignment="1">
      <alignment horizontal="center" vertical="center"/>
    </xf>
    <xf numFmtId="9" fontId="14" fillId="0" borderId="1" xfId="8" applyFont="1" applyBorder="1" applyAlignment="1">
      <alignment horizontal="center" vertical="center"/>
    </xf>
    <xf numFmtId="0" fontId="13" fillId="2" borderId="11" xfId="0" applyFont="1" applyFill="1" applyBorder="1" applyAlignment="1">
      <alignment horizontal="left" vertical="top"/>
    </xf>
    <xf numFmtId="0" fontId="14" fillId="2" borderId="3" xfId="0" applyFont="1" applyFill="1" applyBorder="1" applyAlignment="1">
      <alignment horizontal="right" vertical="top"/>
    </xf>
    <xf numFmtId="0" fontId="14" fillId="2" borderId="40" xfId="0" applyFont="1" applyFill="1" applyBorder="1" applyAlignment="1">
      <alignment horizontal="center" vertical="top" readingOrder="2"/>
    </xf>
    <xf numFmtId="0" fontId="14" fillId="2" borderId="6" xfId="0" applyFont="1" applyFill="1" applyBorder="1" applyAlignment="1">
      <alignment horizontal="left" vertical="center"/>
    </xf>
    <xf numFmtId="0" fontId="14" fillId="2" borderId="0" xfId="0" applyFont="1" applyFill="1" applyBorder="1" applyAlignment="1">
      <alignment horizontal="right" vertical="center"/>
    </xf>
    <xf numFmtId="0" fontId="14" fillId="2" borderId="30" xfId="0" applyFont="1" applyFill="1" applyBorder="1" applyAlignment="1">
      <alignment horizontal="right" vertical="center"/>
    </xf>
    <xf numFmtId="0" fontId="14" fillId="3" borderId="6" xfId="0" applyFont="1" applyFill="1" applyBorder="1" applyAlignment="1">
      <alignment horizontal="left" vertical="center"/>
    </xf>
    <xf numFmtId="165" fontId="14" fillId="3" borderId="0" xfId="9" applyNumberFormat="1" applyFont="1" applyFill="1" applyBorder="1" applyAlignment="1">
      <alignment horizontal="right" vertical="center"/>
    </xf>
    <xf numFmtId="165" fontId="12" fillId="3" borderId="30" xfId="9" applyNumberFormat="1" applyFont="1" applyFill="1" applyBorder="1" applyAlignment="1">
      <alignment horizontal="center" vertical="center"/>
    </xf>
    <xf numFmtId="0" fontId="12" fillId="2" borderId="30" xfId="0" applyFont="1" applyFill="1" applyBorder="1" applyAlignment="1">
      <alignment horizontal="center" vertical="center"/>
    </xf>
    <xf numFmtId="0" fontId="14" fillId="3" borderId="12" xfId="0" applyFont="1" applyFill="1" applyBorder="1" applyAlignment="1">
      <alignment horizontal="left" vertical="center"/>
    </xf>
    <xf numFmtId="0" fontId="14" fillId="3" borderId="2" xfId="0" applyFont="1" applyFill="1" applyBorder="1" applyAlignment="1">
      <alignment horizontal="right" vertical="center"/>
    </xf>
    <xf numFmtId="165" fontId="14" fillId="3" borderId="41" xfId="9" applyNumberFormat="1" applyFont="1" applyFill="1" applyBorder="1" applyAlignment="1">
      <alignment horizontal="center" vertical="center"/>
    </xf>
    <xf numFmtId="165" fontId="12" fillId="2" borderId="30" xfId="9" applyNumberFormat="1" applyFont="1" applyFill="1" applyBorder="1" applyAlignment="1">
      <alignment horizontal="center" vertical="center"/>
    </xf>
    <xf numFmtId="0" fontId="14" fillId="3" borderId="0" xfId="0" applyFont="1" applyFill="1" applyBorder="1" applyAlignment="1">
      <alignment horizontal="right" vertical="center"/>
    </xf>
    <xf numFmtId="0" fontId="14" fillId="3" borderId="30" xfId="0" applyFont="1" applyFill="1" applyBorder="1" applyAlignment="1">
      <alignment horizontal="right" vertical="center"/>
    </xf>
    <xf numFmtId="0" fontId="18" fillId="2" borderId="6" xfId="0" applyFont="1" applyFill="1" applyBorder="1" applyAlignment="1">
      <alignment horizontal="left" vertical="center"/>
    </xf>
    <xf numFmtId="0" fontId="18" fillId="2" borderId="0" xfId="0" applyFont="1" applyFill="1" applyBorder="1" applyAlignment="1">
      <alignment horizontal="right" vertical="center"/>
    </xf>
    <xf numFmtId="0" fontId="14" fillId="3" borderId="41" xfId="0" applyFont="1" applyFill="1" applyBorder="1" applyAlignment="1">
      <alignment horizontal="center" vertical="center"/>
    </xf>
    <xf numFmtId="165" fontId="15" fillId="2" borderId="30" xfId="9" applyNumberFormat="1" applyFont="1" applyFill="1" applyBorder="1" applyAlignment="1">
      <alignment horizontal="center" vertical="center"/>
    </xf>
    <xf numFmtId="0" fontId="14" fillId="3" borderId="25" xfId="0" applyFont="1" applyFill="1" applyBorder="1" applyAlignment="1">
      <alignment horizontal="right" vertical="center"/>
    </xf>
    <xf numFmtId="165" fontId="12" fillId="3" borderId="42" xfId="9" applyNumberFormat="1" applyFont="1" applyFill="1" applyBorder="1" applyAlignment="1">
      <alignment horizontal="center" vertical="center"/>
    </xf>
    <xf numFmtId="0" fontId="14" fillId="2" borderId="12" xfId="0" applyFont="1" applyFill="1" applyBorder="1" applyAlignment="1">
      <alignment horizontal="left" vertical="center"/>
    </xf>
    <xf numFmtId="0" fontId="14" fillId="2" borderId="2" xfId="0" applyFont="1" applyFill="1" applyBorder="1" applyAlignment="1">
      <alignment horizontal="right" vertical="center"/>
    </xf>
    <xf numFmtId="1" fontId="12" fillId="3" borderId="30" xfId="8" applyNumberFormat="1" applyFont="1" applyFill="1" applyBorder="1" applyAlignment="1">
      <alignment horizontal="center" vertical="center"/>
    </xf>
    <xf numFmtId="0" fontId="12" fillId="3" borderId="42" xfId="0" applyFont="1" applyFill="1" applyBorder="1" applyAlignment="1">
      <alignment horizontal="center" vertical="center"/>
    </xf>
    <xf numFmtId="0" fontId="14" fillId="2" borderId="30" xfId="0" applyFont="1" applyFill="1" applyBorder="1" applyAlignment="1">
      <alignment horizontal="center" vertical="center"/>
    </xf>
    <xf numFmtId="0" fontId="12" fillId="3" borderId="30" xfId="0" applyFont="1" applyFill="1" applyBorder="1" applyAlignment="1">
      <alignment horizontal="center" vertical="center"/>
    </xf>
    <xf numFmtId="165" fontId="14" fillId="2" borderId="2" xfId="9" applyNumberFormat="1" applyFont="1" applyFill="1" applyBorder="1" applyAlignment="1">
      <alignment horizontal="right" vertical="center"/>
    </xf>
    <xf numFmtId="0" fontId="14" fillId="2" borderId="41" xfId="0" applyFont="1" applyFill="1" applyBorder="1" applyAlignment="1">
      <alignment horizontal="center" vertical="center"/>
    </xf>
    <xf numFmtId="0" fontId="14" fillId="3" borderId="7" xfId="0" applyFont="1" applyFill="1" applyBorder="1" applyAlignment="1">
      <alignment horizontal="left" vertical="center"/>
    </xf>
    <xf numFmtId="0" fontId="14" fillId="3" borderId="8" xfId="0" applyFont="1" applyFill="1" applyBorder="1" applyAlignment="1">
      <alignment horizontal="right" vertical="center"/>
    </xf>
    <xf numFmtId="0" fontId="12" fillId="3" borderId="31" xfId="0" applyFont="1" applyFill="1" applyBorder="1" applyAlignment="1">
      <alignment horizontal="center" vertical="center"/>
    </xf>
    <xf numFmtId="0" fontId="26" fillId="7" borderId="0" xfId="6" applyFont="1" applyFill="1" applyAlignment="1">
      <alignment horizontal="left"/>
    </xf>
    <xf numFmtId="0" fontId="27" fillId="7" borderId="0" xfId="6" applyFont="1" applyFill="1" applyAlignment="1">
      <alignment horizontal="left" vertical="top"/>
    </xf>
    <xf numFmtId="0" fontId="7" fillId="2" borderId="3" xfId="6" applyFont="1" applyFill="1" applyBorder="1" applyAlignment="1">
      <alignment horizontal="left" vertical="top"/>
    </xf>
    <xf numFmtId="0" fontId="8" fillId="2" borderId="3" xfId="6" applyFont="1" applyFill="1" applyBorder="1" applyAlignment="1">
      <alignment horizontal="right" vertical="top"/>
    </xf>
    <xf numFmtId="0" fontId="28" fillId="3" borderId="0" xfId="6" applyFont="1" applyFill="1" applyBorder="1" applyAlignment="1">
      <alignment horizontal="left" vertical="center"/>
    </xf>
    <xf numFmtId="0" fontId="28" fillId="3" borderId="0" xfId="6" applyFont="1" applyFill="1" applyBorder="1" applyAlignment="1">
      <alignment horizontal="right" vertical="center"/>
    </xf>
    <xf numFmtId="0" fontId="6" fillId="2" borderId="0" xfId="6" applyFill="1" applyBorder="1" applyAlignment="1">
      <alignment horizontal="left" vertical="center"/>
    </xf>
    <xf numFmtId="0" fontId="6" fillId="2" borderId="0" xfId="6" applyFill="1" applyBorder="1" applyAlignment="1">
      <alignment horizontal="right" vertical="center"/>
    </xf>
    <xf numFmtId="0" fontId="6" fillId="3" borderId="0" xfId="6" applyFill="1" applyBorder="1" applyAlignment="1">
      <alignment horizontal="left" vertical="center"/>
    </xf>
    <xf numFmtId="0" fontId="6" fillId="3" borderId="0" xfId="6" applyFill="1" applyBorder="1" applyAlignment="1">
      <alignment horizontal="right" vertical="center"/>
    </xf>
    <xf numFmtId="0" fontId="29" fillId="3" borderId="2" xfId="6" applyFont="1" applyFill="1" applyBorder="1" applyAlignment="1">
      <alignment horizontal="left" vertical="center"/>
    </xf>
    <xf numFmtId="0" fontId="29" fillId="3" borderId="2" xfId="6" applyFont="1" applyFill="1" applyBorder="1" applyAlignment="1">
      <alignment horizontal="right" vertical="center"/>
    </xf>
    <xf numFmtId="0" fontId="29" fillId="2" borderId="2" xfId="6" applyFont="1" applyFill="1" applyBorder="1" applyAlignment="1">
      <alignment horizontal="left" vertical="center"/>
    </xf>
    <xf numFmtId="0" fontId="29" fillId="2" borderId="2" xfId="6" applyFont="1" applyFill="1" applyBorder="1" applyAlignment="1">
      <alignment horizontal="right" vertical="center"/>
    </xf>
    <xf numFmtId="0" fontId="12" fillId="2" borderId="4" xfId="0" applyFont="1" applyFill="1" applyBorder="1"/>
    <xf numFmtId="0" fontId="12" fillId="2" borderId="5" xfId="0" applyFont="1" applyFill="1" applyBorder="1"/>
    <xf numFmtId="0" fontId="12" fillId="2" borderId="29" xfId="0" applyFont="1" applyFill="1" applyBorder="1"/>
    <xf numFmtId="0" fontId="14" fillId="2" borderId="6" xfId="0" applyFont="1" applyFill="1" applyBorder="1"/>
    <xf numFmtId="0" fontId="12" fillId="2" borderId="0" xfId="0" applyFont="1" applyFill="1" applyBorder="1"/>
    <xf numFmtId="0" fontId="12" fillId="2" borderId="30" xfId="0" applyFont="1" applyFill="1" applyBorder="1"/>
    <xf numFmtId="0" fontId="12" fillId="2" borderId="6" xfId="0" applyFont="1" applyFill="1" applyBorder="1"/>
    <xf numFmtId="0" fontId="30" fillId="7" borderId="6" xfId="0" applyFont="1" applyFill="1" applyBorder="1" applyAlignment="1">
      <alignment horizontal="left"/>
    </xf>
    <xf numFmtId="0" fontId="30" fillId="7" borderId="0" xfId="0" applyFont="1" applyFill="1" applyBorder="1" applyAlignment="1">
      <alignment horizontal="left"/>
    </xf>
    <xf numFmtId="0" fontId="30" fillId="7" borderId="30" xfId="0" applyFont="1" applyFill="1" applyBorder="1" applyAlignment="1">
      <alignment horizontal="left"/>
    </xf>
    <xf numFmtId="0" fontId="30" fillId="7" borderId="6" xfId="0" applyFont="1" applyFill="1" applyBorder="1" applyAlignment="1">
      <alignment horizontal="left" vertical="top"/>
    </xf>
    <xf numFmtId="0" fontId="14" fillId="0" borderId="0" xfId="0" applyFont="1" applyAlignment="1">
      <alignment horizontal="center"/>
    </xf>
    <xf numFmtId="0" fontId="14" fillId="2" borderId="0" xfId="6" applyFont="1" applyFill="1"/>
    <xf numFmtId="0" fontId="30" fillId="7" borderId="0" xfId="6" applyFont="1" applyFill="1" applyAlignment="1">
      <alignment horizontal="left"/>
    </xf>
    <xf numFmtId="0" fontId="30" fillId="7" borderId="0" xfId="6" applyFont="1" applyFill="1" applyAlignment="1">
      <alignment horizontal="left" vertical="top"/>
    </xf>
    <xf numFmtId="0" fontId="13" fillId="2" borderId="3" xfId="6" applyFont="1" applyFill="1" applyBorder="1" applyAlignment="1">
      <alignment horizontal="left" vertical="top"/>
    </xf>
    <xf numFmtId="0" fontId="14" fillId="2" borderId="3" xfId="6" applyFont="1" applyFill="1" applyBorder="1" applyAlignment="1">
      <alignment horizontal="right" vertical="top"/>
    </xf>
    <xf numFmtId="0" fontId="31" fillId="3" borderId="0" xfId="6" applyFont="1" applyFill="1" applyBorder="1" applyAlignment="1">
      <alignment horizontal="left" vertical="center"/>
    </xf>
    <xf numFmtId="0" fontId="31" fillId="3" borderId="0" xfId="6" applyFont="1" applyFill="1" applyBorder="1" applyAlignment="1">
      <alignment horizontal="right" vertical="center"/>
    </xf>
    <xf numFmtId="0" fontId="14" fillId="2" borderId="0" xfId="6" applyFont="1" applyFill="1" applyBorder="1" applyAlignment="1">
      <alignment horizontal="left" vertical="center"/>
    </xf>
    <xf numFmtId="0" fontId="14" fillId="2" borderId="0" xfId="6" applyFont="1" applyFill="1" applyBorder="1" applyAlignment="1">
      <alignment horizontal="right" vertical="center"/>
    </xf>
    <xf numFmtId="0" fontId="14" fillId="3" borderId="0" xfId="6" applyFont="1" applyFill="1" applyBorder="1" applyAlignment="1">
      <alignment horizontal="left" vertical="center"/>
    </xf>
    <xf numFmtId="0" fontId="14" fillId="3" borderId="0" xfId="6" applyFont="1" applyFill="1" applyBorder="1" applyAlignment="1">
      <alignment horizontal="right" vertical="center"/>
    </xf>
    <xf numFmtId="0" fontId="14" fillId="3" borderId="2" xfId="6" applyFont="1" applyFill="1" applyBorder="1" applyAlignment="1">
      <alignment horizontal="left" vertical="center"/>
    </xf>
    <xf numFmtId="0" fontId="14" fillId="3" borderId="2" xfId="6" applyFont="1" applyFill="1" applyBorder="1" applyAlignment="1">
      <alignment horizontal="right" vertical="center"/>
    </xf>
    <xf numFmtId="0" fontId="14" fillId="2" borderId="2" xfId="6" applyFont="1" applyFill="1" applyBorder="1" applyAlignment="1">
      <alignment horizontal="left" vertical="center"/>
    </xf>
    <xf numFmtId="0" fontId="14" fillId="2" borderId="2" xfId="6" applyFont="1" applyFill="1" applyBorder="1" applyAlignment="1">
      <alignment horizontal="right" vertical="center"/>
    </xf>
    <xf numFmtId="0" fontId="14" fillId="0" borderId="0" xfId="6" applyFont="1"/>
    <xf numFmtId="0" fontId="8" fillId="2" borderId="3" xfId="6" applyFont="1" applyFill="1" applyBorder="1" applyAlignment="1">
      <alignment horizontal="center" vertical="top"/>
    </xf>
    <xf numFmtId="0" fontId="32" fillId="21" borderId="0" xfId="6" applyFont="1" applyFill="1" applyBorder="1" applyAlignment="1">
      <alignment horizontal="left" vertical="center"/>
    </xf>
    <xf numFmtId="0" fontId="32" fillId="21" borderId="0" xfId="6" applyFont="1" applyFill="1" applyBorder="1" applyAlignment="1">
      <alignment horizontal="right" vertical="center"/>
    </xf>
    <xf numFmtId="0" fontId="7" fillId="0" borderId="1" xfId="6" applyFont="1" applyFill="1" applyBorder="1" applyAlignment="1">
      <alignment horizontal="center" vertical="top"/>
    </xf>
    <xf numFmtId="0" fontId="8" fillId="0" borderId="1" xfId="6" applyFont="1" applyFill="1" applyBorder="1" applyAlignment="1">
      <alignment horizontal="center" vertical="top"/>
    </xf>
    <xf numFmtId="43" fontId="6" fillId="3" borderId="0" xfId="3" applyFont="1" applyFill="1" applyBorder="1" applyAlignment="1">
      <alignment horizontal="right" vertical="center"/>
    </xf>
    <xf numFmtId="0" fontId="6" fillId="0" borderId="1" xfId="6" applyFill="1" applyBorder="1" applyAlignment="1">
      <alignment horizontal="center" vertical="center"/>
    </xf>
    <xf numFmtId="2" fontId="6" fillId="0" borderId="1" xfId="6" applyNumberFormat="1" applyFill="1" applyBorder="1" applyAlignment="1">
      <alignment horizontal="center" vertical="center"/>
    </xf>
    <xf numFmtId="0" fontId="6" fillId="4" borderId="0" xfId="6" applyFill="1" applyBorder="1" applyAlignment="1">
      <alignment horizontal="left" vertical="center"/>
    </xf>
    <xf numFmtId="0" fontId="6" fillId="4" borderId="0" xfId="6" applyFill="1" applyBorder="1" applyAlignment="1">
      <alignment horizontal="right" vertical="center"/>
    </xf>
    <xf numFmtId="0" fontId="6" fillId="0" borderId="1" xfId="6" applyFill="1" applyBorder="1" applyAlignment="1">
      <alignment horizontal="center"/>
    </xf>
    <xf numFmtId="2" fontId="6" fillId="0" borderId="1" xfId="6" applyNumberFormat="1" applyFill="1" applyBorder="1" applyAlignment="1">
      <alignment horizontal="center"/>
    </xf>
    <xf numFmtId="0" fontId="29" fillId="0" borderId="1" xfId="6" applyFont="1" applyFill="1" applyBorder="1" applyAlignment="1">
      <alignment horizontal="center" vertical="center"/>
    </xf>
    <xf numFmtId="2" fontId="29" fillId="0" borderId="1" xfId="6" applyNumberFormat="1" applyFont="1" applyFill="1" applyBorder="1" applyAlignment="1">
      <alignment horizontal="center" vertical="center"/>
    </xf>
    <xf numFmtId="0" fontId="29" fillId="0" borderId="1" xfId="0" applyFont="1" applyFill="1" applyBorder="1" applyAlignment="1">
      <alignment horizontal="center" vertical="center"/>
    </xf>
    <xf numFmtId="2" fontId="29" fillId="0" borderId="1" xfId="1" applyNumberFormat="1" applyFont="1" applyFill="1" applyBorder="1" applyAlignment="1">
      <alignment horizontal="center" vertical="center"/>
    </xf>
    <xf numFmtId="0" fontId="27" fillId="7" borderId="0" xfId="0" applyFont="1" applyFill="1" applyAlignment="1">
      <alignment horizontal="left" vertical="top"/>
    </xf>
    <xf numFmtId="0" fontId="26" fillId="7" borderId="0" xfId="0" applyFont="1" applyFill="1" applyAlignment="1">
      <alignment horizontal="left"/>
    </xf>
    <xf numFmtId="0" fontId="7" fillId="2" borderId="3" xfId="0" applyFont="1" applyFill="1" applyBorder="1" applyAlignment="1">
      <alignment horizontal="left" vertical="top"/>
    </xf>
    <xf numFmtId="0" fontId="8" fillId="2" borderId="3" xfId="0" applyFont="1" applyFill="1" applyBorder="1" applyAlignment="1">
      <alignment horizontal="right" vertical="top"/>
    </xf>
    <xf numFmtId="0" fontId="0" fillId="2" borderId="0" xfId="0" applyFill="1" applyBorder="1" applyAlignment="1">
      <alignment horizontal="left" vertical="center"/>
    </xf>
    <xf numFmtId="0" fontId="0" fillId="2" borderId="0" xfId="0" applyFill="1" applyBorder="1" applyAlignment="1">
      <alignment horizontal="right" vertical="center"/>
    </xf>
    <xf numFmtId="0" fontId="32" fillId="21" borderId="0" xfId="0" applyFont="1" applyFill="1" applyBorder="1" applyAlignment="1">
      <alignment horizontal="left" vertical="center"/>
    </xf>
    <xf numFmtId="0" fontId="32" fillId="21" borderId="0" xfId="0" applyFont="1" applyFill="1" applyBorder="1" applyAlignment="1">
      <alignment horizontal="right" vertical="center"/>
    </xf>
    <xf numFmtId="0" fontId="0" fillId="3" borderId="0" xfId="0" applyFill="1" applyBorder="1" applyAlignment="1">
      <alignment horizontal="left" vertical="center"/>
    </xf>
    <xf numFmtId="0" fontId="0" fillId="3" borderId="0" xfId="0" applyFill="1" applyBorder="1" applyAlignment="1">
      <alignment horizontal="right" vertical="center"/>
    </xf>
    <xf numFmtId="9" fontId="0" fillId="3" borderId="0" xfId="1" applyFont="1" applyFill="1" applyBorder="1" applyAlignment="1">
      <alignment horizontal="right" vertical="center"/>
    </xf>
    <xf numFmtId="9" fontId="0" fillId="2" borderId="0" xfId="1" applyFont="1" applyFill="1" applyBorder="1" applyAlignment="1">
      <alignment horizontal="right" vertical="center"/>
    </xf>
    <xf numFmtId="0" fontId="0" fillId="4" borderId="0" xfId="0" applyFill="1" applyBorder="1" applyAlignment="1">
      <alignment horizontal="left" vertical="center"/>
    </xf>
    <xf numFmtId="0" fontId="0" fillId="4" borderId="0" xfId="0" applyFill="1" applyBorder="1" applyAlignment="1">
      <alignment horizontal="right" vertical="center"/>
    </xf>
    <xf numFmtId="9" fontId="0" fillId="4" borderId="0" xfId="1" applyFont="1" applyFill="1" applyBorder="1" applyAlignment="1">
      <alignment horizontal="right" vertical="center"/>
    </xf>
    <xf numFmtId="0" fontId="29" fillId="3" borderId="2" xfId="0" applyFont="1" applyFill="1" applyBorder="1" applyAlignment="1">
      <alignment horizontal="left" vertical="center"/>
    </xf>
    <xf numFmtId="0" fontId="29" fillId="3" borderId="2" xfId="0" applyFont="1" applyFill="1" applyBorder="1" applyAlignment="1">
      <alignment horizontal="right" vertical="center"/>
    </xf>
    <xf numFmtId="9" fontId="29" fillId="3" borderId="2" xfId="1" applyFont="1" applyFill="1" applyBorder="1" applyAlignment="1">
      <alignment horizontal="right" vertical="center"/>
    </xf>
    <xf numFmtId="0" fontId="29" fillId="2" borderId="2" xfId="0" applyFont="1" applyFill="1" applyBorder="1" applyAlignment="1">
      <alignment horizontal="left" vertical="center"/>
    </xf>
    <xf numFmtId="0" fontId="29" fillId="2" borderId="2" xfId="0" applyFont="1" applyFill="1" applyBorder="1" applyAlignment="1">
      <alignment horizontal="right" vertical="center"/>
    </xf>
    <xf numFmtId="9" fontId="29" fillId="2" borderId="2" xfId="1" applyFont="1" applyFill="1" applyBorder="1" applyAlignment="1">
      <alignment horizontal="right" vertical="center"/>
    </xf>
    <xf numFmtId="9" fontId="32" fillId="21" borderId="0" xfId="1" applyFont="1" applyFill="1" applyBorder="1" applyAlignment="1">
      <alignment horizontal="right" vertical="center"/>
    </xf>
    <xf numFmtId="0" fontId="33" fillId="0" borderId="0" xfId="12" applyFont="1"/>
    <xf numFmtId="0" fontId="33" fillId="0" borderId="1" xfId="12" applyFont="1" applyBorder="1" applyAlignment="1">
      <alignment horizontal="center"/>
    </xf>
    <xf numFmtId="164" fontId="33" fillId="0" borderId="1" xfId="12" applyNumberFormat="1" applyFont="1" applyBorder="1" applyAlignment="1">
      <alignment horizontal="center"/>
    </xf>
    <xf numFmtId="164" fontId="33" fillId="0" borderId="0" xfId="12" applyNumberFormat="1" applyFont="1"/>
    <xf numFmtId="0" fontId="34" fillId="0" borderId="1" xfId="12" applyFont="1" applyBorder="1" applyAlignment="1">
      <alignment horizontal="center"/>
    </xf>
    <xf numFmtId="164" fontId="34" fillId="0" borderId="1" xfId="13" applyNumberFormat="1" applyFont="1" applyBorder="1" applyAlignment="1">
      <alignment horizontal="center"/>
    </xf>
    <xf numFmtId="0" fontId="35" fillId="4" borderId="1" xfId="12" applyFont="1" applyFill="1" applyBorder="1" applyAlignment="1">
      <alignment horizontal="center"/>
    </xf>
    <xf numFmtId="164" fontId="35" fillId="0" borderId="1" xfId="13" applyNumberFormat="1" applyFont="1" applyBorder="1" applyAlignment="1">
      <alignment horizontal="center"/>
    </xf>
    <xf numFmtId="0" fontId="34" fillId="4" borderId="1" xfId="12" applyFont="1" applyFill="1" applyBorder="1" applyAlignment="1">
      <alignment horizontal="center"/>
    </xf>
    <xf numFmtId="0" fontId="13" fillId="2" borderId="11" xfId="0" applyFont="1" applyFill="1" applyBorder="1" applyAlignment="1">
      <alignment horizontal="center" vertical="top"/>
    </xf>
    <xf numFmtId="0" fontId="13" fillId="2" borderId="3" xfId="0" applyFont="1" applyFill="1" applyBorder="1" applyAlignment="1">
      <alignment horizontal="center" vertical="top"/>
    </xf>
    <xf numFmtId="0" fontId="13" fillId="6" borderId="3" xfId="0" applyFont="1" applyFill="1" applyBorder="1" applyAlignment="1">
      <alignment horizontal="left" vertical="top"/>
    </xf>
    <xf numFmtId="0" fontId="13" fillId="6" borderId="3" xfId="0" applyFont="1" applyFill="1" applyBorder="1" applyAlignment="1">
      <alignment horizontal="left" vertical="center"/>
    </xf>
    <xf numFmtId="0" fontId="13" fillId="0" borderId="0" xfId="0" applyFont="1" applyBorder="1" applyAlignment="1">
      <alignment horizontal="center"/>
    </xf>
    <xf numFmtId="0" fontId="13" fillId="0" borderId="0" xfId="0" applyFont="1" applyAlignment="1">
      <alignment horizontal="center"/>
    </xf>
    <xf numFmtId="0" fontId="17" fillId="2" borderId="4" xfId="0" applyFont="1" applyFill="1" applyBorder="1" applyAlignment="1">
      <alignment horizontal="center" vertical="center"/>
    </xf>
    <xf numFmtId="0" fontId="13" fillId="2" borderId="5" xfId="0" applyFont="1" applyFill="1" applyBorder="1"/>
    <xf numFmtId="0" fontId="13" fillId="2" borderId="19" xfId="0" applyFont="1" applyFill="1" applyBorder="1"/>
    <xf numFmtId="0" fontId="13" fillId="7" borderId="6" xfId="0" applyFont="1" applyFill="1" applyBorder="1" applyAlignment="1">
      <alignment horizontal="left" vertical="center"/>
    </xf>
    <xf numFmtId="0" fontId="13" fillId="7" borderId="0" xfId="0" applyFont="1" applyFill="1" applyBorder="1" applyAlignment="1">
      <alignment horizontal="left"/>
    </xf>
    <xf numFmtId="0" fontId="13" fillId="7" borderId="16" xfId="0" applyFont="1" applyFill="1" applyBorder="1" applyAlignment="1">
      <alignment horizontal="left"/>
    </xf>
    <xf numFmtId="0" fontId="13" fillId="2" borderId="6" xfId="0" applyFont="1" applyFill="1" applyBorder="1"/>
    <xf numFmtId="0" fontId="13" fillId="2" borderId="0" xfId="0" applyFont="1" applyFill="1" applyBorder="1"/>
    <xf numFmtId="0" fontId="13" fillId="2" borderId="16" xfId="0" applyFont="1" applyFill="1" applyBorder="1"/>
    <xf numFmtId="0" fontId="13" fillId="2" borderId="20" xfId="0" applyFont="1" applyFill="1" applyBorder="1" applyAlignment="1">
      <alignment horizontal="center" vertical="top" readingOrder="2"/>
    </xf>
    <xf numFmtId="0" fontId="13" fillId="2" borderId="1" xfId="0" applyFont="1" applyFill="1" applyBorder="1" applyAlignment="1">
      <alignment horizontal="center" vertical="top" readingOrder="2"/>
    </xf>
    <xf numFmtId="0" fontId="13" fillId="3" borderId="6" xfId="0" applyFont="1" applyFill="1" applyBorder="1" applyAlignment="1">
      <alignment horizontal="center" vertical="center"/>
    </xf>
    <xf numFmtId="165" fontId="13" fillId="3" borderId="0" xfId="9" applyNumberFormat="1" applyFont="1" applyFill="1" applyBorder="1" applyAlignment="1">
      <alignment horizontal="center" vertical="center"/>
    </xf>
    <xf numFmtId="165" fontId="13" fillId="3" borderId="16" xfId="9" applyNumberFormat="1" applyFont="1" applyFill="1" applyBorder="1" applyAlignment="1">
      <alignment horizontal="center" vertical="center"/>
    </xf>
    <xf numFmtId="0" fontId="13" fillId="3" borderId="1" xfId="0" applyFont="1" applyFill="1" applyBorder="1" applyAlignment="1">
      <alignment horizontal="center" vertical="center"/>
    </xf>
    <xf numFmtId="165" fontId="13" fillId="3" borderId="1" xfId="3" applyNumberFormat="1" applyFont="1" applyFill="1" applyBorder="1" applyAlignment="1">
      <alignment horizontal="center" vertical="center"/>
    </xf>
    <xf numFmtId="0" fontId="13" fillId="2" borderId="1" xfId="0" applyFont="1" applyFill="1" applyBorder="1" applyAlignment="1">
      <alignment horizontal="center" vertical="center"/>
    </xf>
    <xf numFmtId="165" fontId="13" fillId="2" borderId="1" xfId="3" applyNumberFormat="1" applyFont="1" applyFill="1" applyBorder="1" applyAlignment="1">
      <alignment horizontal="center" vertical="center"/>
    </xf>
    <xf numFmtId="0" fontId="13" fillId="2" borderId="6"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16" xfId="0" applyFont="1" applyFill="1" applyBorder="1" applyAlignment="1">
      <alignment horizontal="center" vertical="center"/>
    </xf>
    <xf numFmtId="0" fontId="13" fillId="0" borderId="1" xfId="0" applyFont="1" applyBorder="1" applyAlignment="1">
      <alignment horizontal="center"/>
    </xf>
    <xf numFmtId="9" fontId="13" fillId="0" borderId="1" xfId="1" applyFont="1" applyBorder="1" applyAlignment="1">
      <alignment horizontal="center"/>
    </xf>
    <xf numFmtId="164" fontId="17" fillId="0" borderId="1" xfId="1" applyNumberFormat="1" applyFont="1" applyBorder="1" applyAlignment="1">
      <alignment horizontal="center"/>
    </xf>
    <xf numFmtId="0" fontId="13" fillId="3" borderId="12" xfId="0" applyFont="1" applyFill="1" applyBorder="1" applyAlignment="1">
      <alignment horizontal="center" vertical="center"/>
    </xf>
    <xf numFmtId="165" fontId="13" fillId="3" borderId="2" xfId="3" applyNumberFormat="1" applyFont="1" applyFill="1" applyBorder="1" applyAlignment="1">
      <alignment horizontal="center" vertical="center"/>
    </xf>
    <xf numFmtId="165" fontId="13" fillId="3" borderId="17" xfId="3" applyNumberFormat="1" applyFont="1" applyFill="1" applyBorder="1" applyAlignment="1">
      <alignment horizontal="center" vertical="center"/>
    </xf>
    <xf numFmtId="165" fontId="13" fillId="2" borderId="0" xfId="3" applyNumberFormat="1" applyFont="1" applyFill="1" applyBorder="1" applyAlignment="1">
      <alignment horizontal="center" vertical="center"/>
    </xf>
    <xf numFmtId="165" fontId="13" fillId="2" borderId="16" xfId="3" applyNumberFormat="1" applyFont="1" applyFill="1" applyBorder="1" applyAlignment="1">
      <alignment horizontal="center" vertical="center"/>
    </xf>
    <xf numFmtId="0" fontId="13" fillId="5" borderId="1" xfId="0" applyFont="1" applyFill="1" applyBorder="1" applyAlignment="1">
      <alignment horizontal="center" vertical="center"/>
    </xf>
    <xf numFmtId="1" fontId="13" fillId="5" borderId="1" xfId="0" applyNumberFormat="1" applyFont="1" applyFill="1" applyBorder="1" applyAlignment="1">
      <alignment horizontal="center" vertical="center"/>
    </xf>
    <xf numFmtId="1" fontId="13" fillId="5" borderId="1" xfId="0" applyNumberFormat="1" applyFont="1" applyFill="1" applyBorder="1" applyAlignment="1">
      <alignment horizontal="center" vertical="center" readingOrder="2"/>
    </xf>
    <xf numFmtId="0" fontId="13" fillId="3" borderId="2" xfId="0" applyFont="1" applyFill="1" applyBorder="1" applyAlignment="1">
      <alignment horizontal="center" vertical="center"/>
    </xf>
    <xf numFmtId="0" fontId="13" fillId="3" borderId="17" xfId="0" applyFont="1" applyFill="1" applyBorder="1" applyAlignment="1">
      <alignment horizontal="center" vertical="center"/>
    </xf>
    <xf numFmtId="165" fontId="13" fillId="0" borderId="1" xfId="3" applyNumberFormat="1" applyFont="1" applyBorder="1" applyAlignment="1">
      <alignment horizontal="center"/>
    </xf>
    <xf numFmtId="165" fontId="17" fillId="2" borderId="0" xfId="3" applyNumberFormat="1" applyFont="1" applyFill="1" applyBorder="1" applyAlignment="1">
      <alignment horizontal="center" vertical="center"/>
    </xf>
    <xf numFmtId="165" fontId="17" fillId="2" borderId="16" xfId="3" applyNumberFormat="1" applyFont="1" applyFill="1" applyBorder="1" applyAlignment="1">
      <alignment horizontal="center" vertical="center"/>
    </xf>
    <xf numFmtId="165" fontId="17" fillId="2" borderId="1" xfId="3" applyNumberFormat="1" applyFont="1" applyFill="1" applyBorder="1" applyAlignment="1">
      <alignment horizontal="center" vertical="center"/>
    </xf>
    <xf numFmtId="165" fontId="13" fillId="3" borderId="0" xfId="3" applyNumberFormat="1" applyFont="1" applyFill="1" applyBorder="1" applyAlignment="1">
      <alignment horizontal="center" vertical="center"/>
    </xf>
    <xf numFmtId="165" fontId="13" fillId="3" borderId="16" xfId="3" applyNumberFormat="1" applyFont="1" applyFill="1" applyBorder="1" applyAlignment="1">
      <alignment horizontal="center" vertical="center"/>
    </xf>
    <xf numFmtId="10" fontId="13" fillId="3" borderId="0" xfId="1" applyNumberFormat="1" applyFont="1" applyFill="1" applyBorder="1" applyAlignment="1">
      <alignment horizontal="center" vertical="center"/>
    </xf>
    <xf numFmtId="10" fontId="13" fillId="3" borderId="16" xfId="1" applyNumberFormat="1" applyFont="1" applyFill="1" applyBorder="1" applyAlignment="1">
      <alignment horizontal="center" vertical="center"/>
    </xf>
    <xf numFmtId="0" fontId="13" fillId="2" borderId="12"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17" xfId="0" applyFont="1" applyFill="1" applyBorder="1" applyAlignment="1">
      <alignment horizontal="center" vertical="center"/>
    </xf>
    <xf numFmtId="0" fontId="13" fillId="3" borderId="0" xfId="0" applyFont="1" applyFill="1" applyBorder="1" applyAlignment="1">
      <alignment horizontal="center" vertical="center"/>
    </xf>
    <xf numFmtId="0" fontId="13" fillId="3" borderId="16" xfId="0" applyFont="1" applyFill="1" applyBorder="1" applyAlignment="1">
      <alignment horizontal="center" vertical="center"/>
    </xf>
    <xf numFmtId="0" fontId="13" fillId="4"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vertical="center" readingOrder="2"/>
    </xf>
    <xf numFmtId="0" fontId="17" fillId="3" borderId="9" xfId="0" applyFont="1" applyFill="1" applyBorder="1" applyAlignment="1">
      <alignment horizontal="center" vertical="center"/>
    </xf>
    <xf numFmtId="10" fontId="17" fillId="3" borderId="10" xfId="1" applyNumberFormat="1" applyFont="1" applyFill="1" applyBorder="1" applyAlignment="1">
      <alignment horizontal="center" vertical="center"/>
    </xf>
    <xf numFmtId="10" fontId="17" fillId="3" borderId="18" xfId="1" applyNumberFormat="1" applyFont="1" applyFill="1" applyBorder="1" applyAlignment="1">
      <alignment horizontal="center" vertical="center"/>
    </xf>
    <xf numFmtId="9" fontId="13" fillId="0" borderId="0" xfId="1" applyFont="1" applyAlignment="1">
      <alignment horizontal="center"/>
    </xf>
    <xf numFmtId="165" fontId="13" fillId="0" borderId="1" xfId="0" applyNumberFormat="1" applyFont="1" applyBorder="1" applyAlignment="1">
      <alignment horizont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21" xfId="0" applyFont="1" applyFill="1" applyBorder="1" applyAlignment="1">
      <alignment horizontal="center" vertical="center"/>
    </xf>
    <xf numFmtId="164" fontId="13" fillId="0" borderId="0" xfId="1" applyNumberFormat="1" applyFont="1" applyAlignment="1">
      <alignment horizontal="center"/>
    </xf>
    <xf numFmtId="43" fontId="13" fillId="0" borderId="0" xfId="3" applyFont="1" applyAlignment="1">
      <alignment horizontal="center"/>
    </xf>
    <xf numFmtId="0" fontId="13" fillId="2" borderId="0" xfId="0" applyFont="1" applyFill="1"/>
    <xf numFmtId="0" fontId="13" fillId="2" borderId="0" xfId="0" applyFont="1" applyFill="1" applyAlignment="1"/>
    <xf numFmtId="0" fontId="13" fillId="6" borderId="1" xfId="0" applyFont="1" applyFill="1" applyBorder="1" applyAlignment="1">
      <alignment horizontal="center" vertical="center"/>
    </xf>
    <xf numFmtId="165" fontId="13" fillId="5" borderId="1" xfId="3" applyNumberFormat="1" applyFont="1" applyFill="1" applyBorder="1" applyAlignment="1">
      <alignment horizontal="center" vertical="center"/>
    </xf>
    <xf numFmtId="165" fontId="13" fillId="3" borderId="1" xfId="9" applyNumberFormat="1" applyFont="1" applyFill="1" applyBorder="1" applyAlignment="1">
      <alignment horizontal="center" vertical="center"/>
    </xf>
    <xf numFmtId="0" fontId="13" fillId="7" borderId="0" xfId="0" applyFont="1" applyFill="1" applyAlignment="1">
      <alignment horizontal="left"/>
    </xf>
    <xf numFmtId="0" fontId="13" fillId="7" borderId="0" xfId="0" applyFont="1" applyFill="1" applyAlignment="1">
      <alignment horizontal="left" vertical="top"/>
    </xf>
    <xf numFmtId="164" fontId="13" fillId="0" borderId="1" xfId="1" applyNumberFormat="1" applyFont="1" applyBorder="1" applyAlignment="1">
      <alignment horizontal="center"/>
    </xf>
    <xf numFmtId="0" fontId="13" fillId="5" borderId="1" xfId="0" applyFont="1" applyFill="1" applyBorder="1" applyAlignment="1">
      <alignment horizontal="center"/>
    </xf>
    <xf numFmtId="165" fontId="13" fillId="5" borderId="1" xfId="0" applyNumberFormat="1" applyFont="1" applyFill="1" applyBorder="1" applyAlignment="1">
      <alignment horizontal="center"/>
    </xf>
    <xf numFmtId="0" fontId="13" fillId="2" borderId="0" xfId="0" applyFont="1" applyFill="1" applyAlignment="1">
      <alignment horizontal="center"/>
    </xf>
    <xf numFmtId="0" fontId="13" fillId="2" borderId="3" xfId="0" applyFont="1" applyFill="1" applyBorder="1" applyAlignment="1">
      <alignment horizontal="center" vertical="top" wrapText="1"/>
    </xf>
    <xf numFmtId="0" fontId="13" fillId="2" borderId="3" xfId="0" applyFont="1" applyFill="1" applyBorder="1" applyAlignment="1">
      <alignment horizontal="center" vertical="top" wrapText="1" readingOrder="2"/>
    </xf>
    <xf numFmtId="0" fontId="13" fillId="3" borderId="0" xfId="0" applyFont="1" applyFill="1" applyBorder="1" applyAlignment="1">
      <alignment horizontal="right" vertical="center"/>
    </xf>
    <xf numFmtId="0" fontId="13" fillId="2" borderId="0" xfId="0" applyFont="1" applyFill="1" applyBorder="1" applyAlignment="1">
      <alignment horizontal="right" vertical="center"/>
    </xf>
    <xf numFmtId="0" fontId="13" fillId="0" borderId="0" xfId="0" applyFont="1" applyAlignment="1">
      <alignment horizontal="right"/>
    </xf>
    <xf numFmtId="165" fontId="13" fillId="0" borderId="0" xfId="0" applyNumberFormat="1" applyFont="1" applyAlignment="1">
      <alignment horizontal="center"/>
    </xf>
    <xf numFmtId="165" fontId="13" fillId="3" borderId="0" xfId="3" applyNumberFormat="1" applyFont="1" applyFill="1" applyBorder="1" applyAlignment="1">
      <alignment horizontal="right" vertical="center"/>
    </xf>
    <xf numFmtId="43" fontId="13" fillId="2" borderId="0" xfId="3" applyFont="1" applyFill="1" applyBorder="1" applyAlignment="1">
      <alignment horizontal="right" vertical="center"/>
    </xf>
    <xf numFmtId="165" fontId="13" fillId="2" borderId="0" xfId="3" applyNumberFormat="1" applyFont="1" applyFill="1" applyBorder="1" applyAlignment="1">
      <alignment horizontal="right" vertical="center"/>
    </xf>
    <xf numFmtId="43" fontId="13" fillId="3" borderId="0" xfId="3" applyFont="1" applyFill="1" applyBorder="1" applyAlignment="1">
      <alignment horizontal="right" vertical="center"/>
    </xf>
    <xf numFmtId="164" fontId="17" fillId="5" borderId="1" xfId="1" applyNumberFormat="1" applyFont="1" applyFill="1" applyBorder="1" applyAlignment="1">
      <alignment horizontal="center"/>
    </xf>
    <xf numFmtId="165" fontId="13" fillId="3" borderId="2" xfId="3" applyNumberFormat="1" applyFont="1" applyFill="1" applyBorder="1" applyAlignment="1">
      <alignment horizontal="right" vertical="center"/>
    </xf>
    <xf numFmtId="0" fontId="13" fillId="2" borderId="3" xfId="0" applyFont="1" applyFill="1" applyBorder="1" applyAlignment="1">
      <alignment horizontal="right" vertical="top" wrapText="1"/>
    </xf>
    <xf numFmtId="0" fontId="13" fillId="2" borderId="3" xfId="0" applyFont="1" applyFill="1" applyBorder="1" applyAlignment="1">
      <alignment horizontal="right" vertical="top" wrapText="1" readingOrder="2"/>
    </xf>
    <xf numFmtId="0" fontId="13" fillId="3" borderId="0" xfId="0" applyFont="1" applyFill="1" applyBorder="1" applyAlignment="1">
      <alignment horizontal="left" vertical="center"/>
    </xf>
    <xf numFmtId="43" fontId="13" fillId="3" borderId="0" xfId="9" applyFont="1" applyFill="1" applyBorder="1" applyAlignment="1">
      <alignment horizontal="right" vertical="center"/>
    </xf>
    <xf numFmtId="165" fontId="13" fillId="3" borderId="0" xfId="9" applyNumberFormat="1" applyFont="1" applyFill="1" applyBorder="1" applyAlignment="1">
      <alignment horizontal="right" vertical="center"/>
    </xf>
    <xf numFmtId="0" fontId="13" fillId="2" borderId="0" xfId="0" applyFont="1" applyFill="1" applyBorder="1" applyAlignment="1">
      <alignment horizontal="left" vertical="center"/>
    </xf>
    <xf numFmtId="43" fontId="13" fillId="2" borderId="0" xfId="9" applyFont="1" applyFill="1" applyBorder="1" applyAlignment="1">
      <alignment horizontal="right" vertical="center"/>
    </xf>
    <xf numFmtId="165" fontId="13" fillId="2" borderId="0" xfId="9" applyNumberFormat="1" applyFont="1" applyFill="1" applyBorder="1" applyAlignment="1">
      <alignment horizontal="right" vertical="center"/>
    </xf>
    <xf numFmtId="0" fontId="13" fillId="4" borderId="0" xfId="0" applyFont="1" applyFill="1" applyBorder="1" applyAlignment="1">
      <alignment horizontal="left" vertical="center"/>
    </xf>
    <xf numFmtId="43" fontId="13" fillId="4" borderId="0" xfId="9" applyFont="1" applyFill="1" applyBorder="1" applyAlignment="1">
      <alignment horizontal="right" vertical="center"/>
    </xf>
    <xf numFmtId="165" fontId="13" fillId="4" borderId="0" xfId="9" applyNumberFormat="1" applyFont="1" applyFill="1" applyBorder="1" applyAlignment="1">
      <alignment horizontal="right" vertical="center"/>
    </xf>
    <xf numFmtId="0" fontId="13" fillId="4" borderId="0" xfId="0" applyFont="1" applyFill="1" applyBorder="1" applyAlignment="1">
      <alignment horizontal="right" vertical="center"/>
    </xf>
    <xf numFmtId="43" fontId="17" fillId="4" borderId="0" xfId="3" applyFont="1" applyFill="1" applyBorder="1" applyAlignment="1">
      <alignment horizontal="right" vertical="center"/>
    </xf>
    <xf numFmtId="0" fontId="13" fillId="3" borderId="2" xfId="0" applyFont="1" applyFill="1" applyBorder="1" applyAlignment="1">
      <alignment horizontal="left" vertical="center"/>
    </xf>
    <xf numFmtId="0" fontId="13" fillId="3" borderId="2" xfId="0" applyFont="1" applyFill="1" applyBorder="1" applyAlignment="1">
      <alignment horizontal="right" vertical="center"/>
    </xf>
    <xf numFmtId="0" fontId="13" fillId="2" borderId="3" xfId="0" applyFont="1" applyFill="1" applyBorder="1" applyAlignment="1">
      <alignment horizontal="right" wrapText="1"/>
    </xf>
    <xf numFmtId="0" fontId="12" fillId="4" borderId="0" xfId="0" applyFont="1" applyFill="1" applyAlignment="1">
      <alignment horizontal="center"/>
    </xf>
    <xf numFmtId="0" fontId="36" fillId="0" borderId="0" xfId="0" applyFont="1" applyAlignment="1">
      <alignment horizontal="center"/>
    </xf>
    <xf numFmtId="170" fontId="13" fillId="10" borderId="0" xfId="10" applyNumberFormat="1" applyFont="1" applyFill="1" applyAlignment="1">
      <alignment horizontal="center"/>
    </xf>
    <xf numFmtId="0" fontId="13" fillId="0" borderId="0" xfId="10" applyFont="1" applyAlignment="1">
      <alignment horizontal="center"/>
    </xf>
    <xf numFmtId="170" fontId="13" fillId="10" borderId="0" xfId="0" applyNumberFormat="1" applyFont="1" applyFill="1" applyAlignment="1">
      <alignment horizontal="center"/>
    </xf>
    <xf numFmtId="171" fontId="16" fillId="0" borderId="27" xfId="0" applyNumberFormat="1" applyFont="1" applyBorder="1" applyAlignment="1">
      <alignment horizontal="center" vertical="top"/>
    </xf>
    <xf numFmtId="171" fontId="16" fillId="0" borderId="1" xfId="0" applyNumberFormat="1" applyFont="1" applyBorder="1" applyAlignment="1">
      <alignment horizontal="center" vertical="top"/>
    </xf>
    <xf numFmtId="0" fontId="12" fillId="0" borderId="22" xfId="0" applyFont="1" applyBorder="1" applyAlignment="1">
      <alignment horizontal="center"/>
    </xf>
    <xf numFmtId="0" fontId="12" fillId="0" borderId="2" xfId="0" applyFont="1" applyBorder="1" applyAlignment="1">
      <alignment horizontal="center"/>
    </xf>
    <xf numFmtId="0" fontId="12" fillId="0" borderId="17" xfId="0" applyFont="1" applyBorder="1" applyAlignment="1">
      <alignment horizontal="center"/>
    </xf>
    <xf numFmtId="0" fontId="12" fillId="0" borderId="23" xfId="0" applyFont="1" applyBorder="1" applyAlignment="1">
      <alignment horizontal="center"/>
    </xf>
    <xf numFmtId="172" fontId="12" fillId="0" borderId="0" xfId="1" applyNumberFormat="1" applyFont="1" applyBorder="1" applyAlignment="1">
      <alignment horizontal="center"/>
    </xf>
    <xf numFmtId="172" fontId="12" fillId="0" borderId="16" xfId="1" applyNumberFormat="1" applyFont="1" applyBorder="1" applyAlignment="1">
      <alignment horizontal="center"/>
    </xf>
    <xf numFmtId="0" fontId="12" fillId="0" borderId="24" xfId="0" applyFont="1" applyBorder="1" applyAlignment="1">
      <alignment horizontal="center"/>
    </xf>
    <xf numFmtId="172" fontId="12" fillId="0" borderId="25" xfId="1" applyNumberFormat="1" applyFont="1" applyBorder="1" applyAlignment="1">
      <alignment horizontal="center"/>
    </xf>
    <xf numFmtId="0" fontId="12" fillId="0" borderId="25" xfId="0" applyFont="1" applyBorder="1" applyAlignment="1">
      <alignment horizontal="center"/>
    </xf>
    <xf numFmtId="172" fontId="12" fillId="0" borderId="26" xfId="1" applyNumberFormat="1" applyFont="1" applyBorder="1" applyAlignment="1">
      <alignment horizontal="center"/>
    </xf>
    <xf numFmtId="9" fontId="20" fillId="0" borderId="17" xfId="0" applyNumberFormat="1" applyFont="1" applyBorder="1" applyAlignment="1">
      <alignment horizontal="center"/>
    </xf>
    <xf numFmtId="9" fontId="20" fillId="0" borderId="26" xfId="1" applyFont="1" applyBorder="1" applyAlignment="1">
      <alignment horizontal="center"/>
    </xf>
    <xf numFmtId="0" fontId="20" fillId="17" borderId="5" xfId="0" applyFont="1" applyFill="1" applyBorder="1" applyAlignment="1">
      <alignment horizontal="center"/>
    </xf>
    <xf numFmtId="165" fontId="20" fillId="0" borderId="30" xfId="3" applyNumberFormat="1" applyFont="1" applyBorder="1" applyAlignment="1">
      <alignment horizontal="center"/>
    </xf>
    <xf numFmtId="0" fontId="20" fillId="18" borderId="6" xfId="0" applyFont="1" applyFill="1" applyBorder="1" applyAlignment="1">
      <alignment horizontal="center"/>
    </xf>
    <xf numFmtId="164" fontId="12" fillId="0" borderId="30" xfId="1" applyNumberFormat="1" applyFont="1" applyBorder="1" applyAlignment="1">
      <alignment horizontal="center"/>
    </xf>
    <xf numFmtId="165" fontId="20" fillId="5" borderId="30" xfId="3" applyNumberFormat="1" applyFont="1" applyFill="1" applyBorder="1" applyAlignment="1">
      <alignment horizontal="center"/>
    </xf>
    <xf numFmtId="10" fontId="20" fillId="0" borderId="30" xfId="1" applyNumberFormat="1" applyFont="1" applyBorder="1" applyAlignment="1">
      <alignment horizontal="center"/>
    </xf>
    <xf numFmtId="2" fontId="12" fillId="0" borderId="35" xfId="1" applyNumberFormat="1" applyFont="1" applyBorder="1" applyAlignment="1">
      <alignment horizontal="center" vertical="center"/>
    </xf>
    <xf numFmtId="164" fontId="12" fillId="0" borderId="35" xfId="1" applyNumberFormat="1" applyFont="1" applyBorder="1" applyAlignment="1">
      <alignment horizontal="center" vertical="center"/>
    </xf>
    <xf numFmtId="1" fontId="20" fillId="17" borderId="8" xfId="0" applyNumberFormat="1" applyFont="1" applyFill="1" applyBorder="1" applyAlignment="1">
      <alignment horizontal="center"/>
    </xf>
    <xf numFmtId="1" fontId="20" fillId="0" borderId="8" xfId="0" applyNumberFormat="1" applyFont="1" applyBorder="1" applyAlignment="1">
      <alignment horizontal="center"/>
    </xf>
    <xf numFmtId="1" fontId="20" fillId="0" borderId="31" xfId="0" applyNumberFormat="1" applyFont="1" applyBorder="1" applyAlignment="1">
      <alignment horizontal="center"/>
    </xf>
    <xf numFmtId="0" fontId="14" fillId="2" borderId="0" xfId="6" applyFont="1" applyFill="1" applyAlignment="1">
      <alignment horizontal="center"/>
    </xf>
    <xf numFmtId="0" fontId="14" fillId="0" borderId="0" xfId="6" applyFont="1" applyAlignment="1">
      <alignment horizontal="center"/>
    </xf>
    <xf numFmtId="0" fontId="33" fillId="0" borderId="13" xfId="12" applyFont="1" applyBorder="1" applyAlignment="1">
      <alignment horizontal="center"/>
    </xf>
    <xf numFmtId="0" fontId="33" fillId="0" borderId="14" xfId="12" applyFont="1" applyBorder="1" applyAlignment="1">
      <alignment horizontal="center"/>
    </xf>
    <xf numFmtId="0" fontId="33" fillId="0" borderId="15" xfId="12" applyFont="1" applyBorder="1" applyAlignment="1">
      <alignment horizontal="center"/>
    </xf>
    <xf numFmtId="0" fontId="12" fillId="4" borderId="1" xfId="12" applyFont="1" applyFill="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2" fillId="11" borderId="13" xfId="0" applyFont="1" applyFill="1" applyBorder="1" applyAlignment="1">
      <alignment horizontal="center"/>
    </xf>
    <xf numFmtId="0" fontId="12" fillId="11" borderId="14" xfId="0" applyFont="1" applyFill="1" applyBorder="1" applyAlignment="1">
      <alignment horizontal="center"/>
    </xf>
    <xf numFmtId="0" fontId="12" fillId="11" borderId="15" xfId="0" applyFont="1" applyFill="1" applyBorder="1" applyAlignment="1">
      <alignment horizontal="center"/>
    </xf>
    <xf numFmtId="0" fontId="12" fillId="8" borderId="16" xfId="4" applyFont="1" applyFill="1" applyBorder="1" applyAlignment="1">
      <alignment horizontal="center" vertical="center" textRotation="90"/>
    </xf>
    <xf numFmtId="0" fontId="12" fillId="9" borderId="16" xfId="4" applyFont="1" applyFill="1" applyBorder="1" applyAlignment="1">
      <alignment horizontal="center" vertical="center" textRotation="90"/>
    </xf>
    <xf numFmtId="0" fontId="12" fillId="12" borderId="1" xfId="0" applyFont="1" applyFill="1" applyBorder="1" applyAlignment="1">
      <alignment horizontal="center" vertical="center" textRotation="90"/>
    </xf>
    <xf numFmtId="0" fontId="12" fillId="10" borderId="1" xfId="0" applyFont="1" applyFill="1" applyBorder="1" applyAlignment="1">
      <alignment horizontal="center" vertical="center" textRotation="90"/>
    </xf>
    <xf numFmtId="0" fontId="14" fillId="4" borderId="1" xfId="6" applyFont="1" applyFill="1" applyBorder="1" applyAlignment="1">
      <alignment horizontal="center"/>
    </xf>
    <xf numFmtId="0" fontId="12" fillId="10" borderId="17" xfId="0" applyFont="1" applyFill="1" applyBorder="1" applyAlignment="1">
      <alignment horizontal="center" vertical="center" textRotation="90"/>
    </xf>
    <xf numFmtId="0" fontId="12" fillId="10" borderId="16" xfId="0" applyFont="1" applyFill="1" applyBorder="1" applyAlignment="1">
      <alignment horizontal="center" vertical="center" textRotation="90"/>
    </xf>
    <xf numFmtId="0" fontId="20" fillId="0" borderId="13" xfId="0" applyFont="1" applyBorder="1" applyAlignment="1">
      <alignment horizontal="center" readingOrder="1"/>
    </xf>
    <xf numFmtId="0" fontId="20" fillId="0" borderId="15" xfId="0" applyFont="1" applyBorder="1" applyAlignment="1">
      <alignment horizontal="center" readingOrder="1"/>
    </xf>
    <xf numFmtId="0" fontId="20" fillId="6" borderId="1" xfId="0" applyFont="1" applyFill="1" applyBorder="1" applyAlignment="1">
      <alignment horizontal="center" readingOrder="1"/>
    </xf>
    <xf numFmtId="0" fontId="20" fillId="0" borderId="1" xfId="0" applyFont="1" applyBorder="1" applyAlignment="1">
      <alignment horizontal="center"/>
    </xf>
    <xf numFmtId="0" fontId="0" fillId="6" borderId="1" xfId="0" applyFill="1" applyBorder="1" applyAlignment="1">
      <alignment horizontal="center"/>
    </xf>
    <xf numFmtId="0" fontId="20" fillId="0" borderId="13" xfId="0" applyFont="1" applyBorder="1" applyAlignment="1">
      <alignment horizontal="center"/>
    </xf>
    <xf numFmtId="0" fontId="20" fillId="0" borderId="15" xfId="0" applyFont="1" applyBorder="1" applyAlignment="1">
      <alignment horizontal="center"/>
    </xf>
    <xf numFmtId="0" fontId="20" fillId="0" borderId="6" xfId="0" applyFont="1" applyBorder="1" applyAlignment="1">
      <alignment horizontal="center" readingOrder="2"/>
    </xf>
    <xf numFmtId="0" fontId="20" fillId="0" borderId="0" xfId="0" applyFont="1" applyAlignment="1">
      <alignment horizontal="center" readingOrder="2"/>
    </xf>
    <xf numFmtId="0" fontId="20" fillId="0" borderId="30" xfId="0" applyFont="1" applyBorder="1" applyAlignment="1">
      <alignment horizontal="center" readingOrder="2"/>
    </xf>
    <xf numFmtId="0" fontId="20" fillId="0" borderId="13" xfId="0" applyFont="1" applyBorder="1" applyAlignment="1">
      <alignment horizontal="center" readingOrder="2"/>
    </xf>
    <xf numFmtId="0" fontId="20" fillId="0" borderId="34" xfId="0" applyFont="1" applyBorder="1" applyAlignment="1">
      <alignment horizontal="center" readingOrder="2"/>
    </xf>
    <xf numFmtId="0" fontId="20" fillId="0" borderId="14" xfId="0" applyFont="1" applyBorder="1" applyAlignment="1">
      <alignment horizontal="center" readingOrder="2"/>
    </xf>
    <xf numFmtId="0" fontId="20" fillId="0" borderId="15" xfId="0" applyFont="1" applyBorder="1" applyAlignment="1">
      <alignment horizontal="center" readingOrder="2"/>
    </xf>
    <xf numFmtId="0" fontId="20" fillId="0" borderId="25" xfId="0" applyFont="1" applyBorder="1" applyAlignment="1">
      <alignment horizontal="center"/>
    </xf>
    <xf numFmtId="0" fontId="12" fillId="0" borderId="1" xfId="15" applyFont="1" applyBorder="1" applyAlignment="1">
      <alignment horizontal="center"/>
    </xf>
    <xf numFmtId="0" fontId="12" fillId="0" borderId="0" xfId="15" applyFont="1" applyAlignment="1">
      <alignment horizontal="center"/>
    </xf>
    <xf numFmtId="0" fontId="12" fillId="5" borderId="1" xfId="15" applyFont="1" applyFill="1" applyBorder="1" applyAlignment="1">
      <alignment horizontal="center"/>
    </xf>
    <xf numFmtId="0" fontId="12" fillId="5" borderId="1" xfId="15" applyFont="1" applyFill="1" applyBorder="1" applyAlignment="1">
      <alignment horizontal="center"/>
    </xf>
    <xf numFmtId="173" fontId="12" fillId="0" borderId="1" xfId="15" applyNumberFormat="1" applyFont="1" applyBorder="1" applyAlignment="1">
      <alignment horizontal="center"/>
    </xf>
    <xf numFmtId="173" fontId="12" fillId="0" borderId="0" xfId="15" applyNumberFormat="1" applyFont="1" applyAlignment="1">
      <alignment horizontal="center"/>
    </xf>
    <xf numFmtId="0" fontId="12" fillId="5" borderId="1" xfId="15" applyFont="1" applyFill="1" applyBorder="1" applyAlignment="1">
      <alignment horizontal="left" vertical="center"/>
    </xf>
    <xf numFmtId="165" fontId="12" fillId="5" borderId="1" xfId="16" applyNumberFormat="1" applyFont="1" applyFill="1" applyBorder="1" applyAlignment="1">
      <alignment horizontal="right" vertical="center"/>
    </xf>
    <xf numFmtId="10" fontId="12" fillId="0" borderId="1" xfId="17" applyNumberFormat="1" applyFont="1" applyBorder="1" applyAlignment="1">
      <alignment horizontal="center"/>
    </xf>
    <xf numFmtId="164" fontId="12" fillId="5" borderId="1" xfId="17" applyNumberFormat="1" applyFont="1" applyFill="1" applyBorder="1" applyAlignment="1">
      <alignment horizontal="right" vertical="center"/>
    </xf>
    <xf numFmtId="164" fontId="12" fillId="5" borderId="1" xfId="15" applyNumberFormat="1" applyFont="1" applyFill="1" applyBorder="1" applyAlignment="1">
      <alignment horizontal="center"/>
    </xf>
    <xf numFmtId="164" fontId="12" fillId="0" borderId="1" xfId="17" applyNumberFormat="1" applyFont="1" applyBorder="1" applyAlignment="1">
      <alignment horizontal="center"/>
    </xf>
    <xf numFmtId="0" fontId="14" fillId="5" borderId="1" xfId="15" applyFont="1" applyFill="1" applyBorder="1" applyAlignment="1">
      <alignment horizontal="left" vertical="center"/>
    </xf>
    <xf numFmtId="0" fontId="14" fillId="5" borderId="1" xfId="15" applyFont="1" applyFill="1" applyBorder="1" applyAlignment="1">
      <alignment horizontal="right" vertical="center"/>
    </xf>
    <xf numFmtId="9" fontId="12" fillId="0" borderId="1" xfId="17" applyFont="1" applyBorder="1" applyAlignment="1">
      <alignment horizontal="center"/>
    </xf>
    <xf numFmtId="173" fontId="12" fillId="5" borderId="1" xfId="15" applyNumberFormat="1" applyFont="1" applyFill="1" applyBorder="1" applyAlignment="1">
      <alignment horizontal="center"/>
    </xf>
    <xf numFmtId="0" fontId="14" fillId="5" borderId="1" xfId="6" applyFont="1" applyFill="1" applyBorder="1" applyAlignment="1">
      <alignment horizontal="left" vertical="center"/>
    </xf>
    <xf numFmtId="0" fontId="14" fillId="5" borderId="1" xfId="6" applyFont="1" applyFill="1" applyBorder="1" applyAlignment="1">
      <alignment horizontal="right" vertical="center"/>
    </xf>
    <xf numFmtId="2" fontId="12" fillId="0" borderId="1" xfId="17" applyNumberFormat="1" applyFont="1" applyBorder="1" applyAlignment="1">
      <alignment horizontal="center"/>
    </xf>
    <xf numFmtId="0" fontId="14" fillId="2" borderId="0" xfId="6" applyFont="1" applyFill="1" applyAlignment="1"/>
    <xf numFmtId="0" fontId="14" fillId="2" borderId="3" xfId="6" applyFont="1" applyFill="1" applyBorder="1" applyAlignment="1">
      <alignment horizontal="right" vertical="top" wrapText="1"/>
    </xf>
    <xf numFmtId="0" fontId="14" fillId="5" borderId="0" xfId="6" applyFont="1" applyFill="1" applyBorder="1" applyAlignment="1">
      <alignment horizontal="right" vertical="center"/>
    </xf>
    <xf numFmtId="0" fontId="14" fillId="5" borderId="2" xfId="6" applyFont="1" applyFill="1" applyBorder="1" applyAlignment="1">
      <alignment horizontal="right" vertical="center"/>
    </xf>
    <xf numFmtId="0" fontId="12" fillId="2" borderId="0" xfId="15" applyFont="1" applyFill="1" applyAlignment="1"/>
    <xf numFmtId="0" fontId="14" fillId="2" borderId="0" xfId="15" applyFont="1" applyFill="1"/>
    <xf numFmtId="0" fontId="12" fillId="2" borderId="0" xfId="15" applyFont="1" applyFill="1"/>
    <xf numFmtId="0" fontId="30" fillId="7" borderId="0" xfId="15" applyFont="1" applyFill="1" applyAlignment="1">
      <alignment horizontal="left"/>
    </xf>
    <xf numFmtId="0" fontId="30" fillId="7" borderId="0" xfId="15" applyFont="1" applyFill="1" applyAlignment="1">
      <alignment horizontal="left" vertical="top"/>
    </xf>
    <xf numFmtId="0" fontId="13" fillId="2" borderId="3" xfId="15" applyFont="1" applyFill="1" applyBorder="1" applyAlignment="1">
      <alignment horizontal="left" vertical="top"/>
    </xf>
    <xf numFmtId="0" fontId="14" fillId="2" borderId="3" xfId="15" applyFont="1" applyFill="1" applyBorder="1" applyAlignment="1">
      <alignment horizontal="right" vertical="top" wrapText="1"/>
    </xf>
    <xf numFmtId="0" fontId="12" fillId="3" borderId="0" xfId="15" applyFont="1" applyFill="1" applyBorder="1" applyAlignment="1">
      <alignment horizontal="left" vertical="center"/>
    </xf>
    <xf numFmtId="0" fontId="12" fillId="3" borderId="0" xfId="15" applyFont="1" applyFill="1" applyBorder="1" applyAlignment="1">
      <alignment horizontal="right" vertical="center"/>
    </xf>
    <xf numFmtId="0" fontId="12" fillId="2" borderId="0" xfId="15" applyFont="1" applyFill="1" applyBorder="1" applyAlignment="1">
      <alignment horizontal="left" vertical="center"/>
    </xf>
    <xf numFmtId="0" fontId="12" fillId="2" borderId="0" xfId="15" applyFont="1" applyFill="1" applyBorder="1" applyAlignment="1">
      <alignment horizontal="right" vertical="center"/>
    </xf>
    <xf numFmtId="0" fontId="12" fillId="0" borderId="0" xfId="15" applyFont="1"/>
    <xf numFmtId="0" fontId="33" fillId="0" borderId="1" xfId="15" applyFont="1" applyBorder="1" applyAlignment="1">
      <alignment horizontal="center"/>
    </xf>
    <xf numFmtId="0" fontId="33" fillId="0" borderId="0" xfId="15" applyFont="1"/>
    <xf numFmtId="0" fontId="33" fillId="0" borderId="1" xfId="15" applyFont="1" applyBorder="1" applyAlignment="1">
      <alignment horizontal="center"/>
    </xf>
    <xf numFmtId="43" fontId="33" fillId="0" borderId="1" xfId="16" applyFont="1" applyBorder="1" applyAlignment="1">
      <alignment horizontal="center"/>
    </xf>
    <xf numFmtId="43" fontId="33" fillId="0" borderId="1" xfId="15" applyNumberFormat="1" applyFont="1" applyBorder="1" applyAlignment="1">
      <alignment horizontal="center"/>
    </xf>
    <xf numFmtId="0" fontId="33" fillId="0" borderId="0" xfId="15" applyFont="1" applyAlignment="1">
      <alignment horizontal="center"/>
    </xf>
    <xf numFmtId="0" fontId="33" fillId="0" borderId="0" xfId="15" applyFont="1" applyAlignment="1"/>
    <xf numFmtId="0" fontId="33" fillId="0" borderId="0" xfId="17" applyNumberFormat="1" applyFont="1" applyAlignment="1">
      <alignment horizontal="center"/>
    </xf>
    <xf numFmtId="10" fontId="33" fillId="0" borderId="0" xfId="17" applyNumberFormat="1" applyFont="1" applyAlignment="1">
      <alignment horizontal="center"/>
    </xf>
    <xf numFmtId="43" fontId="33" fillId="0" borderId="0" xfId="16" applyFont="1" applyAlignment="1"/>
    <xf numFmtId="10" fontId="33" fillId="0" borderId="1" xfId="17" applyNumberFormat="1" applyFont="1" applyBorder="1" applyAlignment="1">
      <alignment horizontal="center"/>
    </xf>
    <xf numFmtId="9" fontId="33" fillId="0" borderId="1" xfId="17" applyFont="1" applyBorder="1" applyAlignment="1">
      <alignment horizontal="center"/>
    </xf>
    <xf numFmtId="0" fontId="33" fillId="0" borderId="1" xfId="15" applyFont="1" applyBorder="1"/>
    <xf numFmtId="0" fontId="33" fillId="0" borderId="0" xfId="15" applyFont="1" applyFill="1" applyBorder="1" applyAlignment="1">
      <alignment horizontal="center"/>
    </xf>
    <xf numFmtId="164" fontId="33" fillId="0" borderId="1" xfId="17" applyNumberFormat="1" applyFont="1" applyBorder="1" applyAlignment="1">
      <alignment horizontal="center"/>
    </xf>
    <xf numFmtId="10" fontId="12" fillId="0" borderId="1" xfId="15" applyNumberFormat="1" applyFont="1" applyBorder="1" applyAlignment="1">
      <alignment horizontal="center"/>
    </xf>
    <xf numFmtId="0" fontId="12" fillId="0" borderId="1" xfId="15" applyFont="1" applyBorder="1" applyAlignment="1">
      <alignment horizontal="center" vertical="center"/>
    </xf>
    <xf numFmtId="0" fontId="12" fillId="0" borderId="15" xfId="15" applyFont="1" applyBorder="1" applyAlignment="1">
      <alignment horizontal="center"/>
    </xf>
    <xf numFmtId="0" fontId="12" fillId="0" borderId="14" xfId="15" applyFont="1" applyBorder="1" applyAlignment="1">
      <alignment horizontal="center"/>
    </xf>
    <xf numFmtId="0" fontId="12" fillId="0" borderId="13" xfId="15" applyFont="1" applyBorder="1" applyAlignment="1">
      <alignment horizontal="center"/>
    </xf>
    <xf numFmtId="2" fontId="12" fillId="0" borderId="0" xfId="15" applyNumberFormat="1" applyFont="1" applyAlignment="1">
      <alignment horizontal="center"/>
    </xf>
    <xf numFmtId="164" fontId="12" fillId="0" borderId="0" xfId="15" applyNumberFormat="1" applyFont="1" applyAlignment="1">
      <alignment horizontal="center"/>
    </xf>
    <xf numFmtId="164" fontId="12" fillId="0" borderId="0" xfId="17" applyNumberFormat="1" applyFont="1" applyAlignment="1">
      <alignment horizontal="center"/>
    </xf>
    <xf numFmtId="43" fontId="12" fillId="0" borderId="0" xfId="15" applyNumberFormat="1" applyFont="1" applyAlignment="1">
      <alignment horizontal="center"/>
    </xf>
    <xf numFmtId="174" fontId="12" fillId="0" borderId="0" xfId="15" applyNumberFormat="1" applyFont="1" applyAlignment="1">
      <alignment horizontal="center"/>
    </xf>
    <xf numFmtId="10" fontId="12" fillId="0" borderId="0" xfId="15" applyNumberFormat="1" applyFont="1" applyAlignment="1">
      <alignment horizontal="center"/>
    </xf>
    <xf numFmtId="10" fontId="18" fillId="0" borderId="1" xfId="17" applyNumberFormat="1" applyFont="1" applyBorder="1" applyAlignment="1">
      <alignment horizontal="center"/>
    </xf>
    <xf numFmtId="2" fontId="18" fillId="0" borderId="1" xfId="15" applyNumberFormat="1" applyFont="1" applyBorder="1" applyAlignment="1">
      <alignment horizontal="center"/>
    </xf>
    <xf numFmtId="0" fontId="18" fillId="0" borderId="1" xfId="15" applyFont="1" applyBorder="1" applyAlignment="1">
      <alignment horizontal="center"/>
    </xf>
    <xf numFmtId="165" fontId="12" fillId="0" borderId="1" xfId="16" applyNumberFormat="1" applyFont="1" applyBorder="1" applyAlignment="1">
      <alignment horizontal="center"/>
    </xf>
    <xf numFmtId="164" fontId="18" fillId="0" borderId="1" xfId="17" applyNumberFormat="1" applyFont="1" applyBorder="1" applyAlignment="1">
      <alignment horizontal="center"/>
    </xf>
    <xf numFmtId="2" fontId="18" fillId="0" borderId="1" xfId="16" applyNumberFormat="1" applyFont="1" applyBorder="1" applyAlignment="1">
      <alignment horizontal="center"/>
    </xf>
    <xf numFmtId="43" fontId="18" fillId="0" borderId="1" xfId="16" applyNumberFormat="1" applyFont="1" applyBorder="1" applyAlignment="1">
      <alignment horizontal="center"/>
    </xf>
    <xf numFmtId="10" fontId="18" fillId="0" borderId="1" xfId="15" applyNumberFormat="1" applyFont="1" applyBorder="1" applyAlignment="1">
      <alignment horizontal="center"/>
    </xf>
    <xf numFmtId="9" fontId="18" fillId="0" borderId="1" xfId="17" applyFont="1" applyBorder="1" applyAlignment="1">
      <alignment horizontal="center"/>
    </xf>
    <xf numFmtId="10" fontId="18" fillId="0" borderId="27" xfId="15" applyNumberFormat="1" applyFont="1" applyBorder="1" applyAlignment="1">
      <alignment horizontal="center"/>
    </xf>
    <xf numFmtId="164" fontId="18" fillId="0" borderId="27" xfId="17" applyNumberFormat="1" applyFont="1" applyBorder="1" applyAlignment="1">
      <alignment horizontal="center"/>
    </xf>
    <xf numFmtId="9" fontId="18" fillId="0" borderId="27" xfId="17" applyFont="1" applyBorder="1" applyAlignment="1">
      <alignment horizontal="center"/>
    </xf>
    <xf numFmtId="0" fontId="18" fillId="0" borderId="27" xfId="15" applyFont="1" applyBorder="1" applyAlignment="1">
      <alignment horizontal="center"/>
    </xf>
    <xf numFmtId="9" fontId="18" fillId="4" borderId="43" xfId="17" applyFont="1" applyFill="1" applyBorder="1" applyAlignment="1">
      <alignment horizontal="center"/>
    </xf>
    <xf numFmtId="164" fontId="18" fillId="4" borderId="44" xfId="17" applyNumberFormat="1" applyFont="1" applyFill="1" applyBorder="1" applyAlignment="1">
      <alignment horizontal="center"/>
    </xf>
    <xf numFmtId="9" fontId="18" fillId="4" borderId="44" xfId="17" applyFont="1" applyFill="1" applyBorder="1" applyAlignment="1">
      <alignment horizontal="center"/>
    </xf>
    <xf numFmtId="0" fontId="18" fillId="4" borderId="44" xfId="15" applyFont="1" applyFill="1" applyBorder="1" applyAlignment="1">
      <alignment horizontal="center"/>
    </xf>
    <xf numFmtId="0" fontId="18" fillId="4" borderId="45" xfId="15" applyFont="1" applyFill="1" applyBorder="1" applyAlignment="1">
      <alignment horizontal="center"/>
    </xf>
    <xf numFmtId="9" fontId="18" fillId="0" borderId="46" xfId="17" applyFont="1" applyBorder="1" applyAlignment="1">
      <alignment horizontal="center" vertical="center"/>
    </xf>
    <xf numFmtId="2" fontId="18" fillId="0" borderId="46" xfId="17" applyNumberFormat="1" applyFont="1" applyBorder="1" applyAlignment="1">
      <alignment horizontal="center" vertical="center"/>
    </xf>
    <xf numFmtId="0" fontId="18" fillId="0" borderId="46" xfId="15" applyFont="1" applyBorder="1" applyAlignment="1">
      <alignment horizontal="center" vertical="center" wrapText="1"/>
    </xf>
    <xf numFmtId="9" fontId="18" fillId="0" borderId="1" xfId="17" applyNumberFormat="1" applyFont="1" applyBorder="1" applyAlignment="1">
      <alignment horizontal="center"/>
    </xf>
    <xf numFmtId="0" fontId="12" fillId="4" borderId="1" xfId="15" applyFont="1" applyFill="1" applyBorder="1" applyAlignment="1">
      <alignment horizontal="center"/>
    </xf>
    <xf numFmtId="0" fontId="12" fillId="4" borderId="15" xfId="15" applyFont="1" applyFill="1" applyBorder="1" applyAlignment="1">
      <alignment horizontal="center" vertical="center"/>
    </xf>
    <xf numFmtId="0" fontId="12" fillId="4" borderId="14" xfId="15" applyFont="1" applyFill="1" applyBorder="1" applyAlignment="1">
      <alignment horizontal="center" vertical="center"/>
    </xf>
    <xf numFmtId="9" fontId="12" fillId="4" borderId="13" xfId="15" applyNumberFormat="1" applyFont="1" applyFill="1" applyBorder="1" applyAlignment="1">
      <alignment horizontal="center" vertical="center"/>
    </xf>
    <xf numFmtId="9" fontId="16" fillId="0" borderId="1" xfId="17" applyFont="1" applyBorder="1" applyAlignment="1">
      <alignment horizontal="center"/>
    </xf>
    <xf numFmtId="0" fontId="16" fillId="0" borderId="1" xfId="15" applyFont="1" applyBorder="1" applyAlignment="1">
      <alignment horizontal="center"/>
    </xf>
    <xf numFmtId="165" fontId="12" fillId="0" borderId="1" xfId="15" applyNumberFormat="1" applyFont="1" applyBorder="1" applyAlignment="1">
      <alignment horizontal="center"/>
    </xf>
    <xf numFmtId="9" fontId="16" fillId="4" borderId="15" xfId="17" applyFont="1" applyFill="1" applyBorder="1" applyAlignment="1">
      <alignment horizontal="center"/>
    </xf>
    <xf numFmtId="9" fontId="16" fillId="4" borderId="14" xfId="17" applyFont="1" applyFill="1" applyBorder="1" applyAlignment="1">
      <alignment horizontal="center"/>
    </xf>
    <xf numFmtId="9" fontId="16" fillId="4" borderId="13" xfId="17" applyFont="1" applyFill="1" applyBorder="1" applyAlignment="1">
      <alignment horizontal="center"/>
    </xf>
    <xf numFmtId="0" fontId="12" fillId="0" borderId="1" xfId="15" applyFont="1" applyBorder="1" applyAlignment="1">
      <alignment horizontal="center"/>
    </xf>
    <xf numFmtId="9" fontId="12" fillId="0" borderId="1" xfId="15" applyNumberFormat="1" applyFont="1" applyBorder="1" applyAlignment="1">
      <alignment horizontal="center"/>
    </xf>
    <xf numFmtId="2" fontId="12" fillId="0" borderId="1" xfId="16" applyNumberFormat="1" applyFont="1" applyBorder="1" applyAlignment="1">
      <alignment horizontal="center"/>
    </xf>
    <xf numFmtId="9" fontId="18" fillId="0" borderId="1" xfId="15" applyNumberFormat="1" applyFont="1" applyBorder="1" applyAlignment="1">
      <alignment horizontal="center"/>
    </xf>
  </cellXfs>
  <cellStyles count="18">
    <cellStyle name="Check Cell" xfId="11" builtinId="23"/>
    <cellStyle name="Comma" xfId="3" builtinId="3"/>
    <cellStyle name="Comma 2" xfId="5"/>
    <cellStyle name="Comma 3" xfId="9"/>
    <cellStyle name="Comma 4" xfId="14"/>
    <cellStyle name="Comma 5" xfId="16"/>
    <cellStyle name="Normal" xfId="0" builtinId="0"/>
    <cellStyle name="Normal 2" xfId="2"/>
    <cellStyle name="Normal 2 2" xfId="6"/>
    <cellStyle name="Normal 3" xfId="4"/>
    <cellStyle name="Normal 4" xfId="10"/>
    <cellStyle name="Normal 5" xfId="12"/>
    <cellStyle name="Normal 6" xfId="15"/>
    <cellStyle name="Percent" xfId="1" builtinId="5"/>
    <cellStyle name="Percent 2" xfId="7"/>
    <cellStyle name="Percent 2 2" xfId="8"/>
    <cellStyle name="Percent 3" xfId="13"/>
    <cellStyle name="Percent 4"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B Nazanin" panose="00000400000000000000" pitchFamily="2" charset="-78"/>
              </a:defRPr>
            </a:pPr>
            <a:r>
              <a:rPr lang="fa-IR"/>
              <a:t>درصد هزینه ها به جز مواد مستقیم در ساختار هزینه شبندر</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B Nazanin" panose="00000400000000000000" pitchFamily="2" charset="-78"/>
            </a:defRPr>
          </a:pPr>
          <a:endParaRPr lang="fa-IR"/>
        </a:p>
      </c:txPr>
    </c:title>
    <c:autoTitleDeleted val="0"/>
    <c:plotArea>
      <c:layout>
        <c:manualLayout>
          <c:layoutTarget val="inner"/>
          <c:xMode val="edge"/>
          <c:yMode val="edge"/>
          <c:x val="0.10453946974082413"/>
          <c:y val="0.14148221896627611"/>
          <c:w val="0.87502479040292602"/>
          <c:h val="0.70513583232163324"/>
        </c:manualLayout>
      </c:layout>
      <c:barChart>
        <c:barDir val="col"/>
        <c:grouping val="stacked"/>
        <c:varyColors val="0"/>
        <c:ser>
          <c:idx val="0"/>
          <c:order val="0"/>
          <c:tx>
            <c:strRef>
              <c:f>'ساختار هزینه'!$I$14</c:f>
              <c:strCache>
                <c:ptCount val="1"/>
                <c:pt idx="0">
                  <c:v>هزینه های مالی</c:v>
                </c:pt>
              </c:strCache>
            </c:strRef>
          </c:tx>
          <c:spPr>
            <a:solidFill>
              <a:schemeClr val="accent1"/>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C2AE-48EC-A280-9F5706859F47}"/>
                </c:ext>
              </c:extLst>
            </c:dLbl>
            <c:dLbl>
              <c:idx val="2"/>
              <c:delete val="1"/>
              <c:extLst>
                <c:ext xmlns:c15="http://schemas.microsoft.com/office/drawing/2012/chart" uri="{CE6537A1-D6FC-4f65-9D91-7224C49458BB}"/>
                <c:ext xmlns:c16="http://schemas.microsoft.com/office/drawing/2014/chart" uri="{C3380CC4-5D6E-409C-BE32-E72D297353CC}">
                  <c16:uniqueId val="{00000001-C2AE-48EC-A280-9F5706859F47}"/>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RANSans(FaNum) Light" panose="02040503050201020203" pitchFamily="18" charset="-78"/>
                    <a:ea typeface="+mn-ea"/>
                    <a:cs typeface="B Nazanin" panose="00000400000000000000" pitchFamily="2"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'ساختار هزینه'!$J$13:$M$13</c:f>
              <c:numCache>
                <c:formatCode>General</c:formatCode>
                <c:ptCount val="4"/>
                <c:pt idx="0">
                  <c:v>1396</c:v>
                </c:pt>
                <c:pt idx="1">
                  <c:v>1397</c:v>
                </c:pt>
                <c:pt idx="2">
                  <c:v>1398</c:v>
                </c:pt>
                <c:pt idx="3">
                  <c:v>1399</c:v>
                </c:pt>
              </c:numCache>
            </c:numRef>
          </c:cat>
          <c:val>
            <c:numRef>
              <c:f>'ساختار هزینه'!$J$14:$M$14</c:f>
              <c:numCache>
                <c:formatCode>0.00%</c:formatCode>
                <c:ptCount val="4"/>
                <c:pt idx="0">
                  <c:v>7.3597914964998511E-4</c:v>
                </c:pt>
                <c:pt idx="1">
                  <c:v>4.4480280637547822E-4</c:v>
                </c:pt>
                <c:pt idx="2">
                  <c:v>2.7698091039420395E-4</c:v>
                </c:pt>
                <c:pt idx="3">
                  <c:v>5.4984952479494994E-3</c:v>
                </c:pt>
              </c:numCache>
            </c:numRef>
          </c:val>
          <c:extLst>
            <c:ext xmlns:c16="http://schemas.microsoft.com/office/drawing/2014/chart" uri="{C3380CC4-5D6E-409C-BE32-E72D297353CC}">
              <c16:uniqueId val="{00000002-C2AE-48EC-A280-9F5706859F47}"/>
            </c:ext>
          </c:extLst>
        </c:ser>
        <c:ser>
          <c:idx val="1"/>
          <c:order val="1"/>
          <c:tx>
            <c:strRef>
              <c:f>'ساختار هزینه'!$I$15</c:f>
              <c:strCache>
                <c:ptCount val="1"/>
                <c:pt idx="0">
                  <c:v>هزینه فروش، اداری و عمومی</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RANSans(FaNum) Light" panose="02040503050201020203" pitchFamily="18" charset="-78"/>
                    <a:ea typeface="+mn-ea"/>
                    <a:cs typeface="B Nazanin" panose="00000400000000000000" pitchFamily="2"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'ساختار هزینه'!$J$13:$M$13</c:f>
              <c:numCache>
                <c:formatCode>General</c:formatCode>
                <c:ptCount val="4"/>
                <c:pt idx="0">
                  <c:v>1396</c:v>
                </c:pt>
                <c:pt idx="1">
                  <c:v>1397</c:v>
                </c:pt>
                <c:pt idx="2">
                  <c:v>1398</c:v>
                </c:pt>
                <c:pt idx="3">
                  <c:v>1399</c:v>
                </c:pt>
              </c:numCache>
            </c:numRef>
          </c:cat>
          <c:val>
            <c:numRef>
              <c:f>'ساختار هزینه'!$J$15:$M$15</c:f>
              <c:numCache>
                <c:formatCode>0.00%</c:formatCode>
                <c:ptCount val="4"/>
                <c:pt idx="0">
                  <c:v>2.599595995382456E-2</c:v>
                </c:pt>
                <c:pt idx="1">
                  <c:v>9.2685419285218583E-3</c:v>
                </c:pt>
                <c:pt idx="2">
                  <c:v>7.9571389309372013E-3</c:v>
                </c:pt>
                <c:pt idx="3">
                  <c:v>1.3402692508344022E-2</c:v>
                </c:pt>
              </c:numCache>
            </c:numRef>
          </c:val>
          <c:extLst>
            <c:ext xmlns:c16="http://schemas.microsoft.com/office/drawing/2014/chart" uri="{C3380CC4-5D6E-409C-BE32-E72D297353CC}">
              <c16:uniqueId val="{00000003-C2AE-48EC-A280-9F5706859F47}"/>
            </c:ext>
          </c:extLst>
        </c:ser>
        <c:ser>
          <c:idx val="2"/>
          <c:order val="2"/>
          <c:tx>
            <c:strRef>
              <c:f>'ساختار هزینه'!$I$16</c:f>
              <c:strCache>
                <c:ptCount val="1"/>
                <c:pt idx="0">
                  <c:v>دستمزد مستقیم</c:v>
                </c:pt>
              </c:strCache>
            </c:strRef>
          </c:tx>
          <c:spPr>
            <a:solidFill>
              <a:schemeClr val="accent3"/>
            </a:solidFill>
            <a:ln>
              <a:noFill/>
            </a:ln>
            <a:effectLst/>
          </c:spPr>
          <c:invertIfNegative val="0"/>
          <c:dLbls>
            <c:delete val="1"/>
          </c:dLbls>
          <c:cat>
            <c:numRef>
              <c:f>'ساختار هزینه'!$J$13:$M$13</c:f>
              <c:numCache>
                <c:formatCode>General</c:formatCode>
                <c:ptCount val="4"/>
                <c:pt idx="0">
                  <c:v>1396</c:v>
                </c:pt>
                <c:pt idx="1">
                  <c:v>1397</c:v>
                </c:pt>
                <c:pt idx="2">
                  <c:v>1398</c:v>
                </c:pt>
                <c:pt idx="3">
                  <c:v>1399</c:v>
                </c:pt>
              </c:numCache>
            </c:numRef>
          </c:cat>
          <c:val>
            <c:numRef>
              <c:f>'ساختار هزینه'!$J$16:$M$16</c:f>
              <c:numCache>
                <c:formatCode>0.00%</c:formatCode>
                <c:ptCount val="4"/>
                <c:pt idx="0">
                  <c:v>1.4172625349307679E-3</c:v>
                </c:pt>
                <c:pt idx="1">
                  <c:v>7.0877301478006465E-4</c:v>
                </c:pt>
                <c:pt idx="2">
                  <c:v>1.0447420699846602E-3</c:v>
                </c:pt>
                <c:pt idx="3">
                  <c:v>1.5607314404062773E-3</c:v>
                </c:pt>
              </c:numCache>
            </c:numRef>
          </c:val>
          <c:extLst>
            <c:ext xmlns:c16="http://schemas.microsoft.com/office/drawing/2014/chart" uri="{C3380CC4-5D6E-409C-BE32-E72D297353CC}">
              <c16:uniqueId val="{00000004-C2AE-48EC-A280-9F5706859F47}"/>
            </c:ext>
          </c:extLst>
        </c:ser>
        <c:ser>
          <c:idx val="3"/>
          <c:order val="3"/>
          <c:tx>
            <c:strRef>
              <c:f>'ساختار هزینه'!$I$17</c:f>
              <c:strCache>
                <c:ptCount val="1"/>
                <c:pt idx="0">
                  <c:v>سربار</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RANSans(FaNum) Light" panose="02040503050201020203" pitchFamily="18" charset="-78"/>
                    <a:ea typeface="+mn-ea"/>
                    <a:cs typeface="B Nazanin" panose="00000400000000000000" pitchFamily="2"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'ساختار هزینه'!$J$13:$M$13</c:f>
              <c:numCache>
                <c:formatCode>General</c:formatCode>
                <c:ptCount val="4"/>
                <c:pt idx="0">
                  <c:v>1396</c:v>
                </c:pt>
                <c:pt idx="1">
                  <c:v>1397</c:v>
                </c:pt>
                <c:pt idx="2">
                  <c:v>1398</c:v>
                </c:pt>
                <c:pt idx="3">
                  <c:v>1399</c:v>
                </c:pt>
              </c:numCache>
            </c:numRef>
          </c:cat>
          <c:val>
            <c:numRef>
              <c:f>'ساختار هزینه'!$J$17:$M$17</c:f>
              <c:numCache>
                <c:formatCode>0.00%</c:formatCode>
                <c:ptCount val="4"/>
                <c:pt idx="0">
                  <c:v>2.0830412027194666E-2</c:v>
                </c:pt>
                <c:pt idx="1">
                  <c:v>1.2522297205147942E-2</c:v>
                </c:pt>
                <c:pt idx="2">
                  <c:v>1.1017898953029031E-2</c:v>
                </c:pt>
                <c:pt idx="3">
                  <c:v>1.3270790164227672E-2</c:v>
                </c:pt>
              </c:numCache>
            </c:numRef>
          </c:val>
          <c:extLst>
            <c:ext xmlns:c16="http://schemas.microsoft.com/office/drawing/2014/chart" uri="{C3380CC4-5D6E-409C-BE32-E72D297353CC}">
              <c16:uniqueId val="{00000005-C2AE-48EC-A280-9F5706859F47}"/>
            </c:ext>
          </c:extLst>
        </c:ser>
        <c:ser>
          <c:idx val="4"/>
          <c:order val="4"/>
          <c:tx>
            <c:strRef>
              <c:f>'ساختار هزینه'!$I$18</c:f>
              <c:strCache>
                <c:ptCount val="1"/>
                <c:pt idx="0">
                  <c:v>مالیات بر درآمد</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RANSans(FaNum) Light" panose="02040503050201020203" pitchFamily="18" charset="-78"/>
                    <a:ea typeface="+mn-ea"/>
                    <a:cs typeface="B Nazanin" panose="00000400000000000000" pitchFamily="2"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'ساختار هزینه'!$J$13:$M$13</c:f>
              <c:numCache>
                <c:formatCode>General</c:formatCode>
                <c:ptCount val="4"/>
                <c:pt idx="0">
                  <c:v>1396</c:v>
                </c:pt>
                <c:pt idx="1">
                  <c:v>1397</c:v>
                </c:pt>
                <c:pt idx="2">
                  <c:v>1398</c:v>
                </c:pt>
                <c:pt idx="3">
                  <c:v>1399</c:v>
                </c:pt>
              </c:numCache>
            </c:numRef>
          </c:cat>
          <c:val>
            <c:numRef>
              <c:f>'ساختار هزینه'!$J$18:$M$18</c:f>
              <c:numCache>
                <c:formatCode>0.00%</c:formatCode>
                <c:ptCount val="4"/>
                <c:pt idx="0">
                  <c:v>1.406802362890798E-2</c:v>
                </c:pt>
                <c:pt idx="1">
                  <c:v>1.8448015958216778E-2</c:v>
                </c:pt>
                <c:pt idx="2">
                  <c:v>8.7140982759126746E-3</c:v>
                </c:pt>
                <c:pt idx="3">
                  <c:v>2.8997394342582174E-2</c:v>
                </c:pt>
              </c:numCache>
            </c:numRef>
          </c:val>
          <c:extLst>
            <c:ext xmlns:c16="http://schemas.microsoft.com/office/drawing/2014/chart" uri="{C3380CC4-5D6E-409C-BE32-E72D297353CC}">
              <c16:uniqueId val="{00000006-C2AE-48EC-A280-9F5706859F47}"/>
            </c:ext>
          </c:extLst>
        </c:ser>
        <c:dLbls>
          <c:dLblPos val="ctr"/>
          <c:showLegendKey val="0"/>
          <c:showVal val="1"/>
          <c:showCatName val="0"/>
          <c:showSerName val="0"/>
          <c:showPercent val="0"/>
          <c:showBubbleSize val="0"/>
        </c:dLbls>
        <c:gapWidth val="150"/>
        <c:overlap val="100"/>
        <c:axId val="888928527"/>
        <c:axId val="888927279"/>
      </c:barChart>
      <c:catAx>
        <c:axId val="88892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B Nazanin" panose="00000400000000000000" pitchFamily="2" charset="-78"/>
              </a:defRPr>
            </a:pPr>
            <a:endParaRPr lang="fa-IR"/>
          </a:p>
        </c:txPr>
        <c:crossAx val="888927279"/>
        <c:crosses val="autoZero"/>
        <c:auto val="1"/>
        <c:lblAlgn val="ctr"/>
        <c:lblOffset val="100"/>
        <c:noMultiLvlLbl val="0"/>
      </c:catAx>
      <c:valAx>
        <c:axId val="8889272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B Nazanin" panose="00000400000000000000" pitchFamily="2" charset="-78"/>
              </a:defRPr>
            </a:pPr>
            <a:endParaRPr lang="fa-IR"/>
          </a:p>
        </c:txPr>
        <c:crossAx val="88892852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B Nazanin" panose="00000400000000000000" pitchFamily="2" charset="-78"/>
            </a:defRPr>
          </a:pPr>
          <a:endParaRPr lang="fa-I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IRANSans(FaNum) Light" panose="02040503050201020203" pitchFamily="18" charset="-78"/>
          <a:cs typeface="B Nazanin" panose="00000400000000000000" pitchFamily="2" charset="-78"/>
        </a:defRPr>
      </a:pPr>
      <a:endParaRPr lang="fa-I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r>
              <a:rPr lang="fa-IR" sz="1200"/>
              <a:t>حاشیه سود ناخالص </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title>
    <c:autoTitleDeleted val="0"/>
    <c:plotArea>
      <c:layout/>
      <c:barChart>
        <c:barDir val="col"/>
        <c:grouping val="clustered"/>
        <c:varyColors val="0"/>
        <c:ser>
          <c:idx val="0"/>
          <c:order val="0"/>
          <c:tx>
            <c:strRef>
              <c:f>'تحلیل ترکیبی حاشیه سود'!$D$5</c:f>
              <c:strCache>
                <c:ptCount val="1"/>
                <c:pt idx="0">
                  <c:v>شبندر</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سود'!$E$5:$I$5</c:f>
              <c:numCache>
                <c:formatCode>0.00%</c:formatCode>
                <c:ptCount val="5"/>
                <c:pt idx="0">
                  <c:v>8.900000000000001E-2</c:v>
                </c:pt>
                <c:pt idx="1">
                  <c:v>0.09</c:v>
                </c:pt>
                <c:pt idx="2">
                  <c:v>9.8000000000000004E-2</c:v>
                </c:pt>
                <c:pt idx="3">
                  <c:v>9.3000000000000013E-2</c:v>
                </c:pt>
                <c:pt idx="4">
                  <c:v>0.128</c:v>
                </c:pt>
              </c:numCache>
            </c:numRef>
          </c:val>
          <c:extLst>
            <c:ext xmlns:c16="http://schemas.microsoft.com/office/drawing/2014/chart" uri="{C3380CC4-5D6E-409C-BE32-E72D297353CC}">
              <c16:uniqueId val="{00000000-932D-4987-94A5-2D06DF47DFA1}"/>
            </c:ext>
          </c:extLst>
        </c:ser>
        <c:dLbls>
          <c:showLegendKey val="0"/>
          <c:showVal val="0"/>
          <c:showCatName val="0"/>
          <c:showSerName val="0"/>
          <c:showPercent val="0"/>
          <c:showBubbleSize val="0"/>
        </c:dLbls>
        <c:gapWidth val="219"/>
        <c:overlap val="-27"/>
        <c:axId val="1866972047"/>
        <c:axId val="1866981199"/>
      </c:barChart>
      <c:lineChart>
        <c:grouping val="standard"/>
        <c:varyColors val="0"/>
        <c:ser>
          <c:idx val="1"/>
          <c:order val="1"/>
          <c:tx>
            <c:strRef>
              <c:f>'تحلیل ترکیبی حاشیه سود'!$D$10</c:f>
              <c:strCache>
                <c:ptCount val="1"/>
                <c:pt idx="0">
                  <c:v>متوسط صنعت</c:v>
                </c:pt>
              </c:strCache>
            </c:strRef>
          </c:tx>
          <c:spPr>
            <a:ln w="28575" cap="rnd">
              <a:solidFill>
                <a:schemeClr val="accent2"/>
              </a:solidFill>
              <a:round/>
            </a:ln>
            <a:effectLst/>
          </c:spPr>
          <c:marker>
            <c:symbol val="none"/>
          </c:marker>
          <c:dLbls>
            <c:dLbl>
              <c:idx val="3"/>
              <c:layout>
                <c:manualLayout>
                  <c:x val="-5.3866725407395878E-2"/>
                  <c:y val="-0.1639457877156500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932D-4987-94A5-2D06DF47DF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سود'!$E$10:$I$10</c:f>
              <c:numCache>
                <c:formatCode>0.00%</c:formatCode>
                <c:ptCount val="5"/>
                <c:pt idx="0">
                  <c:v>8.4600000000000009E-2</c:v>
                </c:pt>
                <c:pt idx="1">
                  <c:v>9.2800000000000007E-2</c:v>
                </c:pt>
                <c:pt idx="2">
                  <c:v>0.1</c:v>
                </c:pt>
                <c:pt idx="3">
                  <c:v>6.7000000000000018E-2</c:v>
                </c:pt>
                <c:pt idx="4">
                  <c:v>0.13320000000000001</c:v>
                </c:pt>
              </c:numCache>
            </c:numRef>
          </c:val>
          <c:smooth val="0"/>
          <c:extLst>
            <c:ext xmlns:c16="http://schemas.microsoft.com/office/drawing/2014/chart" uri="{C3380CC4-5D6E-409C-BE32-E72D297353CC}">
              <c16:uniqueId val="{00000002-932D-4987-94A5-2D06DF47DFA1}"/>
            </c:ext>
          </c:extLst>
        </c:ser>
        <c:dLbls>
          <c:showLegendKey val="0"/>
          <c:showVal val="0"/>
          <c:showCatName val="0"/>
          <c:showSerName val="0"/>
          <c:showPercent val="0"/>
          <c:showBubbleSize val="0"/>
        </c:dLbls>
        <c:marker val="1"/>
        <c:smooth val="0"/>
        <c:axId val="1866972047"/>
        <c:axId val="1866981199"/>
      </c:lineChart>
      <c:catAx>
        <c:axId val="186697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81199"/>
        <c:crosses val="autoZero"/>
        <c:auto val="1"/>
        <c:lblAlgn val="ctr"/>
        <c:lblOffset val="100"/>
        <c:noMultiLvlLbl val="0"/>
      </c:catAx>
      <c:valAx>
        <c:axId val="1866981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7204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IRANSans(FaNum) Light" panose="02040503050201020203" pitchFamily="18" charset="-78"/>
          <a:cs typeface="IRANSans(FaNum) Light" panose="02040503050201020203" pitchFamily="18" charset="-78"/>
        </a:defRPr>
      </a:pPr>
      <a:endParaRPr lang="fa-I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r>
              <a:rPr lang="fa-IR" sz="1200"/>
              <a:t>حاشیه سود عملیاتی </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title>
    <c:autoTitleDeleted val="0"/>
    <c:plotArea>
      <c:layout/>
      <c:barChart>
        <c:barDir val="col"/>
        <c:grouping val="clustered"/>
        <c:varyColors val="0"/>
        <c:ser>
          <c:idx val="0"/>
          <c:order val="0"/>
          <c:tx>
            <c:strRef>
              <c:f>'تحلیل ترکیبی حاشیه سود'!$D$19</c:f>
              <c:strCache>
                <c:ptCount val="1"/>
                <c:pt idx="0">
                  <c:v>شبندر</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سود'!$E$19:$I$19</c:f>
              <c:numCache>
                <c:formatCode>0.00%</c:formatCode>
                <c:ptCount val="5"/>
                <c:pt idx="0">
                  <c:v>7.5999999999999998E-2</c:v>
                </c:pt>
                <c:pt idx="1">
                  <c:v>6.7000000000000004E-2</c:v>
                </c:pt>
                <c:pt idx="2">
                  <c:v>9.0999999999999998E-2</c:v>
                </c:pt>
                <c:pt idx="3">
                  <c:v>0.04</c:v>
                </c:pt>
                <c:pt idx="4">
                  <c:v>0.17100000000000001</c:v>
                </c:pt>
              </c:numCache>
            </c:numRef>
          </c:val>
          <c:extLst>
            <c:ext xmlns:c16="http://schemas.microsoft.com/office/drawing/2014/chart" uri="{C3380CC4-5D6E-409C-BE32-E72D297353CC}">
              <c16:uniqueId val="{00000000-9293-453A-AAAC-40399902B199}"/>
            </c:ext>
          </c:extLst>
        </c:ser>
        <c:dLbls>
          <c:showLegendKey val="0"/>
          <c:showVal val="0"/>
          <c:showCatName val="0"/>
          <c:showSerName val="0"/>
          <c:showPercent val="0"/>
          <c:showBubbleSize val="0"/>
        </c:dLbls>
        <c:gapWidth val="219"/>
        <c:overlap val="-27"/>
        <c:axId val="1866972047"/>
        <c:axId val="1866981199"/>
      </c:barChart>
      <c:lineChart>
        <c:grouping val="standard"/>
        <c:varyColors val="0"/>
        <c:ser>
          <c:idx val="1"/>
          <c:order val="1"/>
          <c:tx>
            <c:strRef>
              <c:f>'تحلیل ترکیبی حاشیه سود'!$D$24</c:f>
              <c:strCache>
                <c:ptCount val="1"/>
                <c:pt idx="0">
                  <c:v>متوسط صنعت</c:v>
                </c:pt>
              </c:strCache>
            </c:strRef>
          </c:tx>
          <c:spPr>
            <a:ln w="28575" cap="rnd">
              <a:solidFill>
                <a:schemeClr val="accent2"/>
              </a:solidFill>
              <a:round/>
            </a:ln>
            <a:effectLst/>
          </c:spPr>
          <c:marker>
            <c:symbol val="none"/>
          </c:marker>
          <c:dLbls>
            <c:dLbl>
              <c:idx val="4"/>
              <c:layout>
                <c:manualLayout>
                  <c:x val="-0.13533242631156545"/>
                  <c:y val="-5.841123536924763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9293-453A-AAAC-40399902B1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سود'!$E$24:$I$24</c:f>
              <c:numCache>
                <c:formatCode>0.00%</c:formatCode>
                <c:ptCount val="5"/>
                <c:pt idx="0">
                  <c:v>7.4999999999999997E-2</c:v>
                </c:pt>
                <c:pt idx="1">
                  <c:v>7.6999999999999999E-2</c:v>
                </c:pt>
                <c:pt idx="2">
                  <c:v>9.8000000000000004E-2</c:v>
                </c:pt>
                <c:pt idx="3">
                  <c:v>0.04</c:v>
                </c:pt>
                <c:pt idx="4">
                  <c:v>0.1588</c:v>
                </c:pt>
              </c:numCache>
            </c:numRef>
          </c:val>
          <c:smooth val="0"/>
          <c:extLst>
            <c:ext xmlns:c16="http://schemas.microsoft.com/office/drawing/2014/chart" uri="{C3380CC4-5D6E-409C-BE32-E72D297353CC}">
              <c16:uniqueId val="{00000002-9293-453A-AAAC-40399902B199}"/>
            </c:ext>
          </c:extLst>
        </c:ser>
        <c:dLbls>
          <c:showLegendKey val="0"/>
          <c:showVal val="0"/>
          <c:showCatName val="0"/>
          <c:showSerName val="0"/>
          <c:showPercent val="0"/>
          <c:showBubbleSize val="0"/>
        </c:dLbls>
        <c:marker val="1"/>
        <c:smooth val="0"/>
        <c:axId val="1866972047"/>
        <c:axId val="1866981199"/>
      </c:lineChart>
      <c:catAx>
        <c:axId val="186697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81199"/>
        <c:crosses val="autoZero"/>
        <c:auto val="1"/>
        <c:lblAlgn val="ctr"/>
        <c:lblOffset val="100"/>
        <c:noMultiLvlLbl val="0"/>
      </c:catAx>
      <c:valAx>
        <c:axId val="1866981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7204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IRANSans(FaNum) Light" panose="02040503050201020203" pitchFamily="18" charset="-78"/>
          <a:cs typeface="IRANSans(FaNum) Light" panose="02040503050201020203" pitchFamily="18" charset="-78"/>
        </a:defRPr>
      </a:pPr>
      <a:endParaRPr lang="fa-I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r>
              <a:rPr lang="fa-IR" sz="1200"/>
              <a:t>حاشیه سود خالص </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title>
    <c:autoTitleDeleted val="0"/>
    <c:plotArea>
      <c:layout/>
      <c:barChart>
        <c:barDir val="col"/>
        <c:grouping val="clustered"/>
        <c:varyColors val="0"/>
        <c:ser>
          <c:idx val="0"/>
          <c:order val="0"/>
          <c:tx>
            <c:strRef>
              <c:f>'تحلیل ترکیبی حاشیه سود'!$D$32</c:f>
              <c:strCache>
                <c:ptCount val="1"/>
                <c:pt idx="0">
                  <c:v>شبندر</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سود'!$E$32:$I$32</c:f>
              <c:numCache>
                <c:formatCode>0.00%</c:formatCode>
                <c:ptCount val="5"/>
                <c:pt idx="0">
                  <c:v>6.3E-2</c:v>
                </c:pt>
                <c:pt idx="1">
                  <c:v>5.5E-2</c:v>
                </c:pt>
                <c:pt idx="2">
                  <c:v>7.6999999999999999E-2</c:v>
                </c:pt>
                <c:pt idx="3">
                  <c:v>3.7000000000000005E-2</c:v>
                </c:pt>
                <c:pt idx="4">
                  <c:v>0.15</c:v>
                </c:pt>
              </c:numCache>
            </c:numRef>
          </c:val>
          <c:extLst>
            <c:ext xmlns:c16="http://schemas.microsoft.com/office/drawing/2014/chart" uri="{C3380CC4-5D6E-409C-BE32-E72D297353CC}">
              <c16:uniqueId val="{00000000-5CCF-4A7C-90A6-CFCF3B6E95CC}"/>
            </c:ext>
          </c:extLst>
        </c:ser>
        <c:dLbls>
          <c:showLegendKey val="0"/>
          <c:showVal val="0"/>
          <c:showCatName val="0"/>
          <c:showSerName val="0"/>
          <c:showPercent val="0"/>
          <c:showBubbleSize val="0"/>
        </c:dLbls>
        <c:gapWidth val="219"/>
        <c:overlap val="-27"/>
        <c:axId val="1866972047"/>
        <c:axId val="1866981199"/>
      </c:barChart>
      <c:lineChart>
        <c:grouping val="standard"/>
        <c:varyColors val="0"/>
        <c:ser>
          <c:idx val="1"/>
          <c:order val="1"/>
          <c:tx>
            <c:strRef>
              <c:f>'تحلیل ترکیبی حاشیه سود'!$D$37</c:f>
              <c:strCache>
                <c:ptCount val="1"/>
                <c:pt idx="0">
                  <c:v>متوسط صنعت</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ترکیبی حاشیه سود'!$E$4:$I$4</c:f>
              <c:numCache>
                <c:formatCode>General</c:formatCode>
                <c:ptCount val="5"/>
                <c:pt idx="0">
                  <c:v>1395</c:v>
                </c:pt>
                <c:pt idx="1">
                  <c:v>1396</c:v>
                </c:pt>
                <c:pt idx="2">
                  <c:v>1397</c:v>
                </c:pt>
                <c:pt idx="3">
                  <c:v>1398</c:v>
                </c:pt>
                <c:pt idx="4">
                  <c:v>1399</c:v>
                </c:pt>
              </c:numCache>
            </c:numRef>
          </c:cat>
          <c:val>
            <c:numRef>
              <c:f>'تحلیل ترکیبی حاشیه سود'!$E$37:$I$37</c:f>
              <c:numCache>
                <c:formatCode>0.00%</c:formatCode>
                <c:ptCount val="5"/>
                <c:pt idx="0">
                  <c:v>5.6799999999999996E-2</c:v>
                </c:pt>
                <c:pt idx="1">
                  <c:v>5.7200000000000008E-2</c:v>
                </c:pt>
                <c:pt idx="2">
                  <c:v>8.4199999999999997E-2</c:v>
                </c:pt>
                <c:pt idx="3">
                  <c:v>3.8400000000000004E-2</c:v>
                </c:pt>
                <c:pt idx="4">
                  <c:v>0.14800000000000002</c:v>
                </c:pt>
              </c:numCache>
            </c:numRef>
          </c:val>
          <c:smooth val="0"/>
          <c:extLst>
            <c:ext xmlns:c16="http://schemas.microsoft.com/office/drawing/2014/chart" uri="{C3380CC4-5D6E-409C-BE32-E72D297353CC}">
              <c16:uniqueId val="{00000001-5CCF-4A7C-90A6-CFCF3B6E95CC}"/>
            </c:ext>
          </c:extLst>
        </c:ser>
        <c:dLbls>
          <c:showLegendKey val="0"/>
          <c:showVal val="0"/>
          <c:showCatName val="0"/>
          <c:showSerName val="0"/>
          <c:showPercent val="0"/>
          <c:showBubbleSize val="0"/>
        </c:dLbls>
        <c:marker val="1"/>
        <c:smooth val="0"/>
        <c:axId val="1866972047"/>
        <c:axId val="1866981199"/>
      </c:lineChart>
      <c:catAx>
        <c:axId val="186697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81199"/>
        <c:crosses val="autoZero"/>
        <c:auto val="1"/>
        <c:lblAlgn val="ctr"/>
        <c:lblOffset val="100"/>
        <c:noMultiLvlLbl val="0"/>
      </c:catAx>
      <c:valAx>
        <c:axId val="1866981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186697204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IRANSans(FaNum) Light" panose="02040503050201020203" pitchFamily="18" charset="-78"/>
          <a:cs typeface="IRANSans(FaNum) Light" panose="02040503050201020203" pitchFamily="18" charset="-78"/>
        </a:defRPr>
      </a:pPr>
      <a:endParaRPr lang="fa-I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title>
    <c:autoTitleDeleted val="0"/>
    <c:plotArea>
      <c:layout/>
      <c:barChart>
        <c:barDir val="col"/>
        <c:grouping val="clustered"/>
        <c:varyColors val="0"/>
        <c:ser>
          <c:idx val="0"/>
          <c:order val="0"/>
          <c:tx>
            <c:strRef>
              <c:f>'تحلیل Dupont'!$E$10</c:f>
              <c:strCache>
                <c:ptCount val="1"/>
                <c:pt idx="0">
                  <c:v>ROE</c:v>
                </c:pt>
              </c:strCache>
            </c:strRef>
          </c:tx>
          <c:spPr>
            <a:solidFill>
              <a:schemeClr val="accent1"/>
            </a:solidFill>
            <a:ln>
              <a:noFill/>
            </a:ln>
            <a:effectLst/>
          </c:spPr>
          <c:invertIfNegative val="0"/>
          <c:dLbls>
            <c:dLbl>
              <c:idx val="2"/>
              <c:layout>
                <c:manualLayout>
                  <c:x val="6.7404426361597922E-2"/>
                  <c:y val="3.9840316069495132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2B4F-4876-BDAB-4271F620F4B6}"/>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IRANSans(FaNum) Light" panose="02040503050201020203" pitchFamily="18" charset="-78"/>
                    <a:ea typeface="+mn-ea"/>
                    <a:cs typeface="IRANSans(FaNum) Light" panose="02040503050201020203" pitchFamily="18" charset="-78"/>
                  </a:defRPr>
                </a:pPr>
                <a:endParaRPr lang="fa-IR"/>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'تحلیل Dupont'!$G$6:$K$6</c:f>
              <c:numCache>
                <c:formatCode>General</c:formatCode>
                <c:ptCount val="5"/>
                <c:pt idx="0">
                  <c:v>95</c:v>
                </c:pt>
                <c:pt idx="1">
                  <c:v>96</c:v>
                </c:pt>
                <c:pt idx="2">
                  <c:v>97</c:v>
                </c:pt>
                <c:pt idx="3">
                  <c:v>98</c:v>
                </c:pt>
                <c:pt idx="4">
                  <c:v>99</c:v>
                </c:pt>
              </c:numCache>
            </c:numRef>
          </c:cat>
          <c:val>
            <c:numRef>
              <c:f>'تحلیل Dupont'!$G$10:$K$10</c:f>
              <c:numCache>
                <c:formatCode>0%</c:formatCode>
                <c:ptCount val="5"/>
                <c:pt idx="0">
                  <c:v>0.39599865167960935</c:v>
                </c:pt>
                <c:pt idx="1">
                  <c:v>0.41210699106772442</c:v>
                </c:pt>
                <c:pt idx="2">
                  <c:v>0.792481458140466</c:v>
                </c:pt>
                <c:pt idx="3">
                  <c:v>0.44793259958394321</c:v>
                </c:pt>
                <c:pt idx="4">
                  <c:v>1.1046992043752406</c:v>
                </c:pt>
              </c:numCache>
            </c:numRef>
          </c:val>
          <c:extLst>
            <c:ext xmlns:c16="http://schemas.microsoft.com/office/drawing/2014/chart" uri="{C3380CC4-5D6E-409C-BE32-E72D297353CC}">
              <c16:uniqueId val="{00000001-2B4F-4876-BDAB-4271F620F4B6}"/>
            </c:ext>
          </c:extLst>
        </c:ser>
        <c:dLbls>
          <c:showLegendKey val="0"/>
          <c:showVal val="0"/>
          <c:showCatName val="0"/>
          <c:showSerName val="0"/>
          <c:showPercent val="0"/>
          <c:showBubbleSize val="0"/>
        </c:dLbls>
        <c:gapWidth val="150"/>
        <c:axId val="2003567503"/>
        <c:axId val="2003558351"/>
      </c:barChart>
      <c:catAx>
        <c:axId val="20035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2003558351"/>
        <c:crosses val="autoZero"/>
        <c:auto val="1"/>
        <c:lblAlgn val="ctr"/>
        <c:lblOffset val="100"/>
        <c:noMultiLvlLbl val="0"/>
      </c:catAx>
      <c:valAx>
        <c:axId val="200355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IRANSans(FaNum) Light" panose="02040503050201020203" pitchFamily="18" charset="-78"/>
                <a:ea typeface="+mn-ea"/>
                <a:cs typeface="IRANSans(FaNum) Light" panose="02040503050201020203" pitchFamily="18" charset="-78"/>
              </a:defRPr>
            </a:pPr>
            <a:endParaRPr lang="fa-IR"/>
          </a:p>
        </c:txPr>
        <c:crossAx val="2003567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latin typeface="IRANSans(FaNum) Light" panose="02040503050201020203" pitchFamily="18" charset="-78"/>
          <a:cs typeface="IRANSans(FaNum) Light" panose="02040503050201020203" pitchFamily="18" charset="-78"/>
        </a:defRPr>
      </a:pPr>
      <a:endParaRPr lang="fa-I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B Nazanin" panose="00000400000000000000" pitchFamily="2" charset="-78"/>
            </a:defRPr>
          </a:pPr>
          <a:endParaRPr lang="fa-IR"/>
        </a:p>
      </c:txPr>
    </c:title>
    <c:autoTitleDeleted val="0"/>
    <c:plotArea>
      <c:layout/>
      <c:lineChart>
        <c:grouping val="standard"/>
        <c:varyColors val="0"/>
        <c:ser>
          <c:idx val="0"/>
          <c:order val="0"/>
          <c:tx>
            <c:strRef>
              <c:f>'  ارز-دلار نیمایی      '!$C$4</c:f>
              <c:strCache>
                <c:ptCount val="1"/>
                <c:pt idx="0">
                  <c:v>مقدار</c:v>
                </c:pt>
              </c:strCache>
            </c:strRef>
          </c:tx>
          <c:spPr>
            <a:ln w="28575" cap="rnd">
              <a:solidFill>
                <a:schemeClr val="accent1"/>
              </a:solidFill>
              <a:round/>
            </a:ln>
            <a:effectLst/>
          </c:spPr>
          <c:marker>
            <c:symbol val="none"/>
          </c:marker>
          <c:cat>
            <c:strRef>
              <c:f>'  ارز-دلار نیمایی      '!$B$5:$B$221</c:f>
              <c:strCache>
                <c:ptCount val="217"/>
                <c:pt idx="0">
                  <c:v>1400-01-07</c:v>
                </c:pt>
                <c:pt idx="1">
                  <c:v>1400-01-08</c:v>
                </c:pt>
                <c:pt idx="2">
                  <c:v>1400-01-10</c:v>
                </c:pt>
                <c:pt idx="3">
                  <c:v>1400-01-11</c:v>
                </c:pt>
                <c:pt idx="4">
                  <c:v>1400-01-12</c:v>
                </c:pt>
                <c:pt idx="5">
                  <c:v>1400-01-14</c:v>
                </c:pt>
                <c:pt idx="6">
                  <c:v>1400-01-15</c:v>
                </c:pt>
                <c:pt idx="7">
                  <c:v>1400-01-16</c:v>
                </c:pt>
                <c:pt idx="8">
                  <c:v>1400-01-17</c:v>
                </c:pt>
                <c:pt idx="9">
                  <c:v>1400-01-18</c:v>
                </c:pt>
                <c:pt idx="10">
                  <c:v>1400-01-19</c:v>
                </c:pt>
                <c:pt idx="11">
                  <c:v>1400-01-21</c:v>
                </c:pt>
                <c:pt idx="12">
                  <c:v>1400-01-22</c:v>
                </c:pt>
                <c:pt idx="13">
                  <c:v>1400-01-23</c:v>
                </c:pt>
                <c:pt idx="14">
                  <c:v>1400-01-24</c:v>
                </c:pt>
                <c:pt idx="15">
                  <c:v>1400-01-25</c:v>
                </c:pt>
                <c:pt idx="16">
                  <c:v>1400-01-26</c:v>
                </c:pt>
                <c:pt idx="17">
                  <c:v>1400-01-28</c:v>
                </c:pt>
                <c:pt idx="18">
                  <c:v>1400-01-29</c:v>
                </c:pt>
                <c:pt idx="19">
                  <c:v>1400-01-30</c:v>
                </c:pt>
                <c:pt idx="20">
                  <c:v>1400-01-31</c:v>
                </c:pt>
                <c:pt idx="21">
                  <c:v>1400-02-01</c:v>
                </c:pt>
                <c:pt idx="22">
                  <c:v>1400-02-02</c:v>
                </c:pt>
                <c:pt idx="23">
                  <c:v>1400-02-04</c:v>
                </c:pt>
                <c:pt idx="24">
                  <c:v>1400-02-05</c:v>
                </c:pt>
                <c:pt idx="25">
                  <c:v>1400-02-06</c:v>
                </c:pt>
                <c:pt idx="26">
                  <c:v>1400-02-07</c:v>
                </c:pt>
                <c:pt idx="27">
                  <c:v>1400-02-08</c:v>
                </c:pt>
                <c:pt idx="28">
                  <c:v>1400-02-09</c:v>
                </c:pt>
                <c:pt idx="29">
                  <c:v>1400-02-11</c:v>
                </c:pt>
                <c:pt idx="30">
                  <c:v>1400-02-12</c:v>
                </c:pt>
                <c:pt idx="31">
                  <c:v>1400-02-13</c:v>
                </c:pt>
                <c:pt idx="32">
                  <c:v>1400-02-15</c:v>
                </c:pt>
                <c:pt idx="33">
                  <c:v>1400-02-16</c:v>
                </c:pt>
                <c:pt idx="34">
                  <c:v>1400-02-18</c:v>
                </c:pt>
                <c:pt idx="35">
                  <c:v>1400-02-19</c:v>
                </c:pt>
                <c:pt idx="36">
                  <c:v>1400-02-20</c:v>
                </c:pt>
                <c:pt idx="37">
                  <c:v>1400-02-21</c:v>
                </c:pt>
                <c:pt idx="38">
                  <c:v>1400-02-22</c:v>
                </c:pt>
                <c:pt idx="39">
                  <c:v>1400-02-23</c:v>
                </c:pt>
                <c:pt idx="40">
                  <c:v>1400-02-25</c:v>
                </c:pt>
                <c:pt idx="41">
                  <c:v>1400-02-26</c:v>
                </c:pt>
                <c:pt idx="42">
                  <c:v>1400-02-27</c:v>
                </c:pt>
                <c:pt idx="43">
                  <c:v>1400-02-28</c:v>
                </c:pt>
                <c:pt idx="44">
                  <c:v>1400-02-29</c:v>
                </c:pt>
                <c:pt idx="45">
                  <c:v>1400-02-30</c:v>
                </c:pt>
                <c:pt idx="46">
                  <c:v>1400-03-01</c:v>
                </c:pt>
                <c:pt idx="47">
                  <c:v>1400-03-02</c:v>
                </c:pt>
                <c:pt idx="48">
                  <c:v>1400-03-03</c:v>
                </c:pt>
                <c:pt idx="49">
                  <c:v>1400-03-04</c:v>
                </c:pt>
                <c:pt idx="50">
                  <c:v>1400-03-05</c:v>
                </c:pt>
                <c:pt idx="51">
                  <c:v>1400-03-06</c:v>
                </c:pt>
                <c:pt idx="52">
                  <c:v>1400-03-08</c:v>
                </c:pt>
                <c:pt idx="53">
                  <c:v>1400-03-09</c:v>
                </c:pt>
                <c:pt idx="54">
                  <c:v>1400-03-10</c:v>
                </c:pt>
                <c:pt idx="55">
                  <c:v>1400-03-11</c:v>
                </c:pt>
                <c:pt idx="56">
                  <c:v>1400-03-12</c:v>
                </c:pt>
                <c:pt idx="57">
                  <c:v>1400-03-13</c:v>
                </c:pt>
                <c:pt idx="58">
                  <c:v>1400-03-17</c:v>
                </c:pt>
                <c:pt idx="59">
                  <c:v>1400-03-18</c:v>
                </c:pt>
                <c:pt idx="60">
                  <c:v>1400-03-19</c:v>
                </c:pt>
                <c:pt idx="61">
                  <c:v>1400-03-20</c:v>
                </c:pt>
                <c:pt idx="62">
                  <c:v>1400-03-22</c:v>
                </c:pt>
                <c:pt idx="63">
                  <c:v>1400-03-23</c:v>
                </c:pt>
                <c:pt idx="64">
                  <c:v>1400-03-24</c:v>
                </c:pt>
                <c:pt idx="65">
                  <c:v>1400-03-25</c:v>
                </c:pt>
                <c:pt idx="66">
                  <c:v>1400-03-26</c:v>
                </c:pt>
                <c:pt idx="67">
                  <c:v>1400-03-27</c:v>
                </c:pt>
                <c:pt idx="68">
                  <c:v>1400-03-29</c:v>
                </c:pt>
                <c:pt idx="69">
                  <c:v>1400-03-30</c:v>
                </c:pt>
                <c:pt idx="70">
                  <c:v>1400-03-31</c:v>
                </c:pt>
                <c:pt idx="71">
                  <c:v>1400-04-01</c:v>
                </c:pt>
                <c:pt idx="72">
                  <c:v>1400-04-02</c:v>
                </c:pt>
                <c:pt idx="73">
                  <c:v>1400-04-03</c:v>
                </c:pt>
                <c:pt idx="74">
                  <c:v>1400-04-05</c:v>
                </c:pt>
                <c:pt idx="75">
                  <c:v>1400-04-06</c:v>
                </c:pt>
                <c:pt idx="76">
                  <c:v>1400-04-07</c:v>
                </c:pt>
                <c:pt idx="77">
                  <c:v>1400-04-08</c:v>
                </c:pt>
                <c:pt idx="78">
                  <c:v>1400-04-09</c:v>
                </c:pt>
                <c:pt idx="79">
                  <c:v>1400-04-10</c:v>
                </c:pt>
                <c:pt idx="80">
                  <c:v>1400-04-12</c:v>
                </c:pt>
                <c:pt idx="81">
                  <c:v>1400-04-13</c:v>
                </c:pt>
                <c:pt idx="82">
                  <c:v>1400-04-14</c:v>
                </c:pt>
                <c:pt idx="83">
                  <c:v>1400-04-15</c:v>
                </c:pt>
                <c:pt idx="84">
                  <c:v>1400-04-16</c:v>
                </c:pt>
                <c:pt idx="85">
                  <c:v>1400-04-17</c:v>
                </c:pt>
                <c:pt idx="86">
                  <c:v>1400-04-19</c:v>
                </c:pt>
                <c:pt idx="87">
                  <c:v>1400-04-20</c:v>
                </c:pt>
                <c:pt idx="88">
                  <c:v>1400-04-21</c:v>
                </c:pt>
                <c:pt idx="89">
                  <c:v>1400-04-22</c:v>
                </c:pt>
                <c:pt idx="90">
                  <c:v>1400-04-23</c:v>
                </c:pt>
                <c:pt idx="91">
                  <c:v>1400-04-24</c:v>
                </c:pt>
                <c:pt idx="92">
                  <c:v>1400-04-26</c:v>
                </c:pt>
                <c:pt idx="93">
                  <c:v>1400-04-27</c:v>
                </c:pt>
                <c:pt idx="94">
                  <c:v>1400-04-28</c:v>
                </c:pt>
                <c:pt idx="95">
                  <c:v>1400-04-31</c:v>
                </c:pt>
                <c:pt idx="96">
                  <c:v>1400-05-04</c:v>
                </c:pt>
                <c:pt idx="97">
                  <c:v>1400-05-05</c:v>
                </c:pt>
                <c:pt idx="98">
                  <c:v>1400-05-06</c:v>
                </c:pt>
                <c:pt idx="99">
                  <c:v>1400-05-07</c:v>
                </c:pt>
                <c:pt idx="100">
                  <c:v>1400-05-09</c:v>
                </c:pt>
                <c:pt idx="101">
                  <c:v>1400-05-10</c:v>
                </c:pt>
                <c:pt idx="102">
                  <c:v>1400-05-11</c:v>
                </c:pt>
                <c:pt idx="103">
                  <c:v>1400-05-12</c:v>
                </c:pt>
                <c:pt idx="104">
                  <c:v>1400-05-13</c:v>
                </c:pt>
                <c:pt idx="105">
                  <c:v>1400-05-14</c:v>
                </c:pt>
                <c:pt idx="106">
                  <c:v>1400-05-16</c:v>
                </c:pt>
                <c:pt idx="107">
                  <c:v>1400-05-17</c:v>
                </c:pt>
                <c:pt idx="108">
                  <c:v>1400-05-18</c:v>
                </c:pt>
                <c:pt idx="109">
                  <c:v>1400-05-19</c:v>
                </c:pt>
                <c:pt idx="110">
                  <c:v>1400-05-20</c:v>
                </c:pt>
                <c:pt idx="111">
                  <c:v>1400-05-21</c:v>
                </c:pt>
                <c:pt idx="112">
                  <c:v>1400-05-23</c:v>
                </c:pt>
                <c:pt idx="113">
                  <c:v>1400-05-24</c:v>
                </c:pt>
                <c:pt idx="114">
                  <c:v>1400-05-28</c:v>
                </c:pt>
                <c:pt idx="115">
                  <c:v>1400-05-31</c:v>
                </c:pt>
                <c:pt idx="116">
                  <c:v>1400-06-01</c:v>
                </c:pt>
                <c:pt idx="117">
                  <c:v>1400-06-02</c:v>
                </c:pt>
                <c:pt idx="118">
                  <c:v>1400-06-03</c:v>
                </c:pt>
                <c:pt idx="119">
                  <c:v>1400-06-04</c:v>
                </c:pt>
                <c:pt idx="120">
                  <c:v>1400-06-06</c:v>
                </c:pt>
                <c:pt idx="121">
                  <c:v>1400-06-07</c:v>
                </c:pt>
                <c:pt idx="122">
                  <c:v>1400-06-08</c:v>
                </c:pt>
                <c:pt idx="123">
                  <c:v>1400-06-09</c:v>
                </c:pt>
                <c:pt idx="124">
                  <c:v>1400-06-10</c:v>
                </c:pt>
                <c:pt idx="125">
                  <c:v>1400-06-11</c:v>
                </c:pt>
                <c:pt idx="126">
                  <c:v>1400-06-13</c:v>
                </c:pt>
                <c:pt idx="127">
                  <c:v>1400-06-14</c:v>
                </c:pt>
                <c:pt idx="128">
                  <c:v>1400-06-15</c:v>
                </c:pt>
                <c:pt idx="129">
                  <c:v>1400-06-16</c:v>
                </c:pt>
                <c:pt idx="130">
                  <c:v>1400-06-17</c:v>
                </c:pt>
                <c:pt idx="131">
                  <c:v>1400-06-18</c:v>
                </c:pt>
                <c:pt idx="132">
                  <c:v>1400-06-20</c:v>
                </c:pt>
                <c:pt idx="133">
                  <c:v>1400-06-21</c:v>
                </c:pt>
                <c:pt idx="134">
                  <c:v>1400-06-22</c:v>
                </c:pt>
                <c:pt idx="135">
                  <c:v>1400-06-23</c:v>
                </c:pt>
                <c:pt idx="136">
                  <c:v>1400-06-24</c:v>
                </c:pt>
                <c:pt idx="137">
                  <c:v>1400-06-25</c:v>
                </c:pt>
                <c:pt idx="138">
                  <c:v>1400-06-27</c:v>
                </c:pt>
                <c:pt idx="139">
                  <c:v>1400-06-28</c:v>
                </c:pt>
                <c:pt idx="140">
                  <c:v>1400-06-29</c:v>
                </c:pt>
                <c:pt idx="141">
                  <c:v>1400-06-30</c:v>
                </c:pt>
                <c:pt idx="142">
                  <c:v>1400-06-31</c:v>
                </c:pt>
                <c:pt idx="143">
                  <c:v>1400-07-01</c:v>
                </c:pt>
                <c:pt idx="144">
                  <c:v>1400-07-03</c:v>
                </c:pt>
                <c:pt idx="145">
                  <c:v>1400-07-04</c:v>
                </c:pt>
                <c:pt idx="146">
                  <c:v>1400-07-06</c:v>
                </c:pt>
                <c:pt idx="147">
                  <c:v>1400-07-07</c:v>
                </c:pt>
                <c:pt idx="148">
                  <c:v>1400-07-08</c:v>
                </c:pt>
                <c:pt idx="149">
                  <c:v>1400-07-10</c:v>
                </c:pt>
                <c:pt idx="150">
                  <c:v>1400-07-11</c:v>
                </c:pt>
                <c:pt idx="151">
                  <c:v>1400-07-12</c:v>
                </c:pt>
                <c:pt idx="152">
                  <c:v>1400-07-14</c:v>
                </c:pt>
                <c:pt idx="153">
                  <c:v>1400-07-15</c:v>
                </c:pt>
                <c:pt idx="154">
                  <c:v>1400-07-17</c:v>
                </c:pt>
                <c:pt idx="155">
                  <c:v>1400-07-18</c:v>
                </c:pt>
                <c:pt idx="156">
                  <c:v>1400-07-19</c:v>
                </c:pt>
                <c:pt idx="157">
                  <c:v>1400-07-20</c:v>
                </c:pt>
                <c:pt idx="158">
                  <c:v>1400-07-21</c:v>
                </c:pt>
                <c:pt idx="159">
                  <c:v>1400-07-22</c:v>
                </c:pt>
                <c:pt idx="160">
                  <c:v>1400-07-24</c:v>
                </c:pt>
                <c:pt idx="161">
                  <c:v>1400-07-25</c:v>
                </c:pt>
                <c:pt idx="162">
                  <c:v>1400-07-26</c:v>
                </c:pt>
                <c:pt idx="163">
                  <c:v>1400-07-27</c:v>
                </c:pt>
                <c:pt idx="164">
                  <c:v>1400-07-28</c:v>
                </c:pt>
                <c:pt idx="165">
                  <c:v>1400-07-29</c:v>
                </c:pt>
                <c:pt idx="166">
                  <c:v>1400-08-01</c:v>
                </c:pt>
                <c:pt idx="167">
                  <c:v>1400-08-03</c:v>
                </c:pt>
                <c:pt idx="168">
                  <c:v>1400-08-04</c:v>
                </c:pt>
                <c:pt idx="169">
                  <c:v>1400-08-05</c:v>
                </c:pt>
                <c:pt idx="170">
                  <c:v>1400-08-06</c:v>
                </c:pt>
                <c:pt idx="171">
                  <c:v>1400-08-08</c:v>
                </c:pt>
                <c:pt idx="172">
                  <c:v>1400-08-09</c:v>
                </c:pt>
                <c:pt idx="173">
                  <c:v>1400-08-10</c:v>
                </c:pt>
                <c:pt idx="174">
                  <c:v>1400-08-11</c:v>
                </c:pt>
                <c:pt idx="175">
                  <c:v>1400-08-12</c:v>
                </c:pt>
                <c:pt idx="176">
                  <c:v>1400-08-13</c:v>
                </c:pt>
                <c:pt idx="177">
                  <c:v>1400-08-15</c:v>
                </c:pt>
                <c:pt idx="178">
                  <c:v>1400-08-16</c:v>
                </c:pt>
                <c:pt idx="179">
                  <c:v>1400-08-17</c:v>
                </c:pt>
                <c:pt idx="180">
                  <c:v>1400-08-18</c:v>
                </c:pt>
                <c:pt idx="181">
                  <c:v>1400-08-19</c:v>
                </c:pt>
                <c:pt idx="182">
                  <c:v>1400-08-20</c:v>
                </c:pt>
                <c:pt idx="183">
                  <c:v>1400-08-22</c:v>
                </c:pt>
                <c:pt idx="184">
                  <c:v>1400-08-23</c:v>
                </c:pt>
                <c:pt idx="185">
                  <c:v>1400-08-24</c:v>
                </c:pt>
                <c:pt idx="186">
                  <c:v>1400-08-25</c:v>
                </c:pt>
                <c:pt idx="187">
                  <c:v>1400-08-26</c:v>
                </c:pt>
                <c:pt idx="188">
                  <c:v>1400-08-27</c:v>
                </c:pt>
                <c:pt idx="189">
                  <c:v>1400-08-29</c:v>
                </c:pt>
                <c:pt idx="190">
                  <c:v>1400-08-30</c:v>
                </c:pt>
                <c:pt idx="191">
                  <c:v>1400-09-01</c:v>
                </c:pt>
                <c:pt idx="192">
                  <c:v>1400-09-02</c:v>
                </c:pt>
                <c:pt idx="193">
                  <c:v>1400-09-03</c:v>
                </c:pt>
                <c:pt idx="194">
                  <c:v>1400-09-04</c:v>
                </c:pt>
                <c:pt idx="195">
                  <c:v>1400-09-06</c:v>
                </c:pt>
                <c:pt idx="196">
                  <c:v>1400-09-07</c:v>
                </c:pt>
                <c:pt idx="197">
                  <c:v>1400-09-08</c:v>
                </c:pt>
                <c:pt idx="198">
                  <c:v>1400-09-09</c:v>
                </c:pt>
                <c:pt idx="199">
                  <c:v>1400-09-10</c:v>
                </c:pt>
                <c:pt idx="200">
                  <c:v>1400-09-11</c:v>
                </c:pt>
                <c:pt idx="201">
                  <c:v>1400-09-13</c:v>
                </c:pt>
                <c:pt idx="202">
                  <c:v>1400-09-14</c:v>
                </c:pt>
                <c:pt idx="203">
                  <c:v>1400-09-15</c:v>
                </c:pt>
                <c:pt idx="204">
                  <c:v>1400-09-16</c:v>
                </c:pt>
                <c:pt idx="205">
                  <c:v>1400-09-17</c:v>
                </c:pt>
                <c:pt idx="206">
                  <c:v>1400-09-18</c:v>
                </c:pt>
                <c:pt idx="207">
                  <c:v>1400-09-20</c:v>
                </c:pt>
                <c:pt idx="208">
                  <c:v>1400-09-21</c:v>
                </c:pt>
                <c:pt idx="209">
                  <c:v>1400-09-22</c:v>
                </c:pt>
                <c:pt idx="210">
                  <c:v>1400-09-23</c:v>
                </c:pt>
                <c:pt idx="211">
                  <c:v>1400-09-24</c:v>
                </c:pt>
                <c:pt idx="212">
                  <c:v>1400-09-25</c:v>
                </c:pt>
                <c:pt idx="213">
                  <c:v>1400-09-27</c:v>
                </c:pt>
                <c:pt idx="214">
                  <c:v>1400-09-28</c:v>
                </c:pt>
                <c:pt idx="215">
                  <c:v>1400-09-29</c:v>
                </c:pt>
                <c:pt idx="216">
                  <c:v>1400-09-30</c:v>
                </c:pt>
              </c:strCache>
            </c:strRef>
          </c:cat>
          <c:val>
            <c:numRef>
              <c:f>'  ارز-دلار نیمایی      '!$C$5:$C$221</c:f>
              <c:numCache>
                <c:formatCode>_(* #,##0.00_);_(* \(#,##0.00\);_(* "-"??_);_(@_)</c:formatCode>
                <c:ptCount val="217"/>
                <c:pt idx="0">
                  <c:v>226199</c:v>
                </c:pt>
                <c:pt idx="1">
                  <c:v>226199</c:v>
                </c:pt>
                <c:pt idx="2">
                  <c:v>226234</c:v>
                </c:pt>
                <c:pt idx="3">
                  <c:v>229081</c:v>
                </c:pt>
                <c:pt idx="4">
                  <c:v>229081</c:v>
                </c:pt>
                <c:pt idx="5">
                  <c:v>229023</c:v>
                </c:pt>
                <c:pt idx="6">
                  <c:v>227399</c:v>
                </c:pt>
                <c:pt idx="7">
                  <c:v>227315</c:v>
                </c:pt>
                <c:pt idx="8">
                  <c:v>227754</c:v>
                </c:pt>
                <c:pt idx="9">
                  <c:v>227276</c:v>
                </c:pt>
                <c:pt idx="10">
                  <c:v>229340</c:v>
                </c:pt>
                <c:pt idx="11">
                  <c:v>230193</c:v>
                </c:pt>
                <c:pt idx="12">
                  <c:v>229524</c:v>
                </c:pt>
                <c:pt idx="13">
                  <c:v>230644</c:v>
                </c:pt>
                <c:pt idx="14">
                  <c:v>231001</c:v>
                </c:pt>
                <c:pt idx="15">
                  <c:v>231304</c:v>
                </c:pt>
                <c:pt idx="16">
                  <c:v>232502</c:v>
                </c:pt>
                <c:pt idx="17">
                  <c:v>234693</c:v>
                </c:pt>
                <c:pt idx="18">
                  <c:v>232492</c:v>
                </c:pt>
                <c:pt idx="19">
                  <c:v>235261</c:v>
                </c:pt>
                <c:pt idx="20">
                  <c:v>232903</c:v>
                </c:pt>
                <c:pt idx="21">
                  <c:v>232288</c:v>
                </c:pt>
                <c:pt idx="22">
                  <c:v>232339</c:v>
                </c:pt>
                <c:pt idx="23">
                  <c:v>230447</c:v>
                </c:pt>
                <c:pt idx="24">
                  <c:v>231830</c:v>
                </c:pt>
                <c:pt idx="25">
                  <c:v>231901</c:v>
                </c:pt>
                <c:pt idx="26">
                  <c:v>230952</c:v>
                </c:pt>
                <c:pt idx="27">
                  <c:v>230552</c:v>
                </c:pt>
                <c:pt idx="28">
                  <c:v>231617</c:v>
                </c:pt>
                <c:pt idx="29">
                  <c:v>231617</c:v>
                </c:pt>
                <c:pt idx="30">
                  <c:v>227948</c:v>
                </c:pt>
                <c:pt idx="31">
                  <c:v>227758</c:v>
                </c:pt>
                <c:pt idx="32">
                  <c:v>212507</c:v>
                </c:pt>
                <c:pt idx="33">
                  <c:v>224661</c:v>
                </c:pt>
                <c:pt idx="34">
                  <c:v>217316</c:v>
                </c:pt>
                <c:pt idx="35">
                  <c:v>213163</c:v>
                </c:pt>
                <c:pt idx="36">
                  <c:v>209008</c:v>
                </c:pt>
                <c:pt idx="37">
                  <c:v>204887</c:v>
                </c:pt>
                <c:pt idx="38">
                  <c:v>209714</c:v>
                </c:pt>
                <c:pt idx="39">
                  <c:v>209714</c:v>
                </c:pt>
                <c:pt idx="40">
                  <c:v>206896</c:v>
                </c:pt>
                <c:pt idx="41">
                  <c:v>206862</c:v>
                </c:pt>
                <c:pt idx="42">
                  <c:v>205122</c:v>
                </c:pt>
                <c:pt idx="43">
                  <c:v>206060</c:v>
                </c:pt>
                <c:pt idx="44">
                  <c:v>204513</c:v>
                </c:pt>
                <c:pt idx="45">
                  <c:v>205474</c:v>
                </c:pt>
                <c:pt idx="46">
                  <c:v>206683</c:v>
                </c:pt>
                <c:pt idx="47">
                  <c:v>205883</c:v>
                </c:pt>
                <c:pt idx="48">
                  <c:v>205859</c:v>
                </c:pt>
                <c:pt idx="49">
                  <c:v>204509</c:v>
                </c:pt>
                <c:pt idx="50">
                  <c:v>204147</c:v>
                </c:pt>
                <c:pt idx="51">
                  <c:v>204651</c:v>
                </c:pt>
                <c:pt idx="52">
                  <c:v>204386</c:v>
                </c:pt>
                <c:pt idx="53">
                  <c:v>204337</c:v>
                </c:pt>
                <c:pt idx="54">
                  <c:v>204459</c:v>
                </c:pt>
                <c:pt idx="55">
                  <c:v>203750</c:v>
                </c:pt>
                <c:pt idx="56">
                  <c:v>203262</c:v>
                </c:pt>
                <c:pt idx="57">
                  <c:v>203262</c:v>
                </c:pt>
                <c:pt idx="58">
                  <c:v>204686</c:v>
                </c:pt>
                <c:pt idx="59">
                  <c:v>203336</c:v>
                </c:pt>
                <c:pt idx="60">
                  <c:v>204020</c:v>
                </c:pt>
                <c:pt idx="61">
                  <c:v>203901</c:v>
                </c:pt>
                <c:pt idx="62">
                  <c:v>205488</c:v>
                </c:pt>
                <c:pt idx="63">
                  <c:v>204186</c:v>
                </c:pt>
                <c:pt idx="64">
                  <c:v>205693</c:v>
                </c:pt>
                <c:pt idx="65">
                  <c:v>205160</c:v>
                </c:pt>
                <c:pt idx="66">
                  <c:v>205916</c:v>
                </c:pt>
                <c:pt idx="67">
                  <c:v>207043</c:v>
                </c:pt>
                <c:pt idx="68">
                  <c:v>211177</c:v>
                </c:pt>
                <c:pt idx="69">
                  <c:v>208919</c:v>
                </c:pt>
                <c:pt idx="70">
                  <c:v>210206</c:v>
                </c:pt>
                <c:pt idx="71">
                  <c:v>209645</c:v>
                </c:pt>
                <c:pt idx="72">
                  <c:v>210319</c:v>
                </c:pt>
                <c:pt idx="73">
                  <c:v>208278</c:v>
                </c:pt>
                <c:pt idx="74">
                  <c:v>212720</c:v>
                </c:pt>
                <c:pt idx="75">
                  <c:v>213812</c:v>
                </c:pt>
                <c:pt idx="76">
                  <c:v>213661</c:v>
                </c:pt>
                <c:pt idx="77">
                  <c:v>215986</c:v>
                </c:pt>
                <c:pt idx="78">
                  <c:v>216834</c:v>
                </c:pt>
                <c:pt idx="79">
                  <c:v>219264</c:v>
                </c:pt>
                <c:pt idx="80">
                  <c:v>219823</c:v>
                </c:pt>
                <c:pt idx="81">
                  <c:v>219065</c:v>
                </c:pt>
                <c:pt idx="82">
                  <c:v>221016</c:v>
                </c:pt>
                <c:pt idx="83">
                  <c:v>221384</c:v>
                </c:pt>
                <c:pt idx="84">
                  <c:v>224076</c:v>
                </c:pt>
                <c:pt idx="85">
                  <c:v>224369</c:v>
                </c:pt>
                <c:pt idx="86">
                  <c:v>222882</c:v>
                </c:pt>
                <c:pt idx="87">
                  <c:v>221205</c:v>
                </c:pt>
                <c:pt idx="88">
                  <c:v>223331</c:v>
                </c:pt>
                <c:pt idx="89">
                  <c:v>223563</c:v>
                </c:pt>
                <c:pt idx="90">
                  <c:v>224287</c:v>
                </c:pt>
                <c:pt idx="91">
                  <c:v>224287</c:v>
                </c:pt>
                <c:pt idx="92">
                  <c:v>224025</c:v>
                </c:pt>
                <c:pt idx="93">
                  <c:v>223649</c:v>
                </c:pt>
                <c:pt idx="94">
                  <c:v>224022</c:v>
                </c:pt>
                <c:pt idx="95">
                  <c:v>224022</c:v>
                </c:pt>
                <c:pt idx="96">
                  <c:v>223681</c:v>
                </c:pt>
                <c:pt idx="97">
                  <c:v>223589</c:v>
                </c:pt>
                <c:pt idx="98">
                  <c:v>222981</c:v>
                </c:pt>
                <c:pt idx="99">
                  <c:v>222981</c:v>
                </c:pt>
                <c:pt idx="100">
                  <c:v>223212</c:v>
                </c:pt>
                <c:pt idx="101">
                  <c:v>223996</c:v>
                </c:pt>
                <c:pt idx="102">
                  <c:v>224214</c:v>
                </c:pt>
                <c:pt idx="103">
                  <c:v>224184</c:v>
                </c:pt>
                <c:pt idx="104">
                  <c:v>223179</c:v>
                </c:pt>
                <c:pt idx="105">
                  <c:v>223179</c:v>
                </c:pt>
                <c:pt idx="106">
                  <c:v>225959</c:v>
                </c:pt>
                <c:pt idx="107">
                  <c:v>226009</c:v>
                </c:pt>
                <c:pt idx="108">
                  <c:v>226961</c:v>
                </c:pt>
                <c:pt idx="109">
                  <c:v>226681</c:v>
                </c:pt>
                <c:pt idx="110">
                  <c:v>227127</c:v>
                </c:pt>
                <c:pt idx="111">
                  <c:v>227127</c:v>
                </c:pt>
                <c:pt idx="112">
                  <c:v>226878</c:v>
                </c:pt>
                <c:pt idx="113">
                  <c:v>228733</c:v>
                </c:pt>
                <c:pt idx="114">
                  <c:v>228733</c:v>
                </c:pt>
                <c:pt idx="115">
                  <c:v>230084</c:v>
                </c:pt>
                <c:pt idx="116">
                  <c:v>230718</c:v>
                </c:pt>
                <c:pt idx="117">
                  <c:v>229074</c:v>
                </c:pt>
                <c:pt idx="118">
                  <c:v>229992</c:v>
                </c:pt>
                <c:pt idx="119">
                  <c:v>230998</c:v>
                </c:pt>
                <c:pt idx="120">
                  <c:v>230487</c:v>
                </c:pt>
                <c:pt idx="121">
                  <c:v>231172</c:v>
                </c:pt>
                <c:pt idx="122">
                  <c:v>230902</c:v>
                </c:pt>
                <c:pt idx="123">
                  <c:v>230503</c:v>
                </c:pt>
                <c:pt idx="124">
                  <c:v>230024</c:v>
                </c:pt>
                <c:pt idx="125">
                  <c:v>229717</c:v>
                </c:pt>
                <c:pt idx="126">
                  <c:v>230774</c:v>
                </c:pt>
                <c:pt idx="127">
                  <c:v>229702</c:v>
                </c:pt>
                <c:pt idx="128">
                  <c:v>229789</c:v>
                </c:pt>
                <c:pt idx="129">
                  <c:v>230172</c:v>
                </c:pt>
                <c:pt idx="130">
                  <c:v>230172</c:v>
                </c:pt>
                <c:pt idx="131">
                  <c:v>230172</c:v>
                </c:pt>
                <c:pt idx="132">
                  <c:v>230172</c:v>
                </c:pt>
                <c:pt idx="133">
                  <c:v>230172</c:v>
                </c:pt>
                <c:pt idx="134">
                  <c:v>231774</c:v>
                </c:pt>
                <c:pt idx="135">
                  <c:v>230616</c:v>
                </c:pt>
                <c:pt idx="136">
                  <c:v>230878</c:v>
                </c:pt>
                <c:pt idx="137">
                  <c:v>231117</c:v>
                </c:pt>
                <c:pt idx="138">
                  <c:v>232812</c:v>
                </c:pt>
                <c:pt idx="139">
                  <c:v>231949</c:v>
                </c:pt>
                <c:pt idx="140">
                  <c:v>232236</c:v>
                </c:pt>
                <c:pt idx="141">
                  <c:v>231193</c:v>
                </c:pt>
                <c:pt idx="142">
                  <c:v>231991</c:v>
                </c:pt>
                <c:pt idx="143">
                  <c:v>231147</c:v>
                </c:pt>
                <c:pt idx="144">
                  <c:v>232692</c:v>
                </c:pt>
                <c:pt idx="145">
                  <c:v>232350</c:v>
                </c:pt>
                <c:pt idx="146">
                  <c:v>232350</c:v>
                </c:pt>
                <c:pt idx="147">
                  <c:v>232403</c:v>
                </c:pt>
                <c:pt idx="148">
                  <c:v>233417</c:v>
                </c:pt>
                <c:pt idx="149">
                  <c:v>235400</c:v>
                </c:pt>
                <c:pt idx="150">
                  <c:v>233160</c:v>
                </c:pt>
                <c:pt idx="151">
                  <c:v>234170</c:v>
                </c:pt>
                <c:pt idx="152">
                  <c:v>234108</c:v>
                </c:pt>
                <c:pt idx="153">
                  <c:v>234108</c:v>
                </c:pt>
                <c:pt idx="154">
                  <c:v>233926</c:v>
                </c:pt>
                <c:pt idx="155">
                  <c:v>234370</c:v>
                </c:pt>
                <c:pt idx="156">
                  <c:v>235037</c:v>
                </c:pt>
                <c:pt idx="157">
                  <c:v>235580</c:v>
                </c:pt>
                <c:pt idx="158">
                  <c:v>236435</c:v>
                </c:pt>
                <c:pt idx="159">
                  <c:v>234501</c:v>
                </c:pt>
                <c:pt idx="160">
                  <c:v>234663</c:v>
                </c:pt>
                <c:pt idx="161">
                  <c:v>234753</c:v>
                </c:pt>
                <c:pt idx="162">
                  <c:v>234234</c:v>
                </c:pt>
                <c:pt idx="163">
                  <c:v>234065</c:v>
                </c:pt>
                <c:pt idx="164">
                  <c:v>234094</c:v>
                </c:pt>
                <c:pt idx="165">
                  <c:v>234115</c:v>
                </c:pt>
                <c:pt idx="166">
                  <c:v>233485</c:v>
                </c:pt>
                <c:pt idx="167">
                  <c:v>232866</c:v>
                </c:pt>
                <c:pt idx="168">
                  <c:v>233257</c:v>
                </c:pt>
                <c:pt idx="169">
                  <c:v>233440</c:v>
                </c:pt>
                <c:pt idx="170">
                  <c:v>233199</c:v>
                </c:pt>
                <c:pt idx="171">
                  <c:v>234392</c:v>
                </c:pt>
                <c:pt idx="172">
                  <c:v>234165</c:v>
                </c:pt>
                <c:pt idx="173">
                  <c:v>233324</c:v>
                </c:pt>
                <c:pt idx="174">
                  <c:v>232427</c:v>
                </c:pt>
                <c:pt idx="175">
                  <c:v>232511</c:v>
                </c:pt>
                <c:pt idx="176">
                  <c:v>232526</c:v>
                </c:pt>
                <c:pt idx="177">
                  <c:v>233413</c:v>
                </c:pt>
                <c:pt idx="178">
                  <c:v>232717</c:v>
                </c:pt>
                <c:pt idx="179">
                  <c:v>232574</c:v>
                </c:pt>
                <c:pt idx="180">
                  <c:v>231906</c:v>
                </c:pt>
                <c:pt idx="181">
                  <c:v>231847</c:v>
                </c:pt>
                <c:pt idx="182">
                  <c:v>233614</c:v>
                </c:pt>
                <c:pt idx="183">
                  <c:v>235034</c:v>
                </c:pt>
                <c:pt idx="184">
                  <c:v>234489</c:v>
                </c:pt>
                <c:pt idx="185">
                  <c:v>234400</c:v>
                </c:pt>
                <c:pt idx="186">
                  <c:v>234494</c:v>
                </c:pt>
                <c:pt idx="187">
                  <c:v>235818</c:v>
                </c:pt>
                <c:pt idx="188">
                  <c:v>236659</c:v>
                </c:pt>
                <c:pt idx="189">
                  <c:v>236156</c:v>
                </c:pt>
                <c:pt idx="190">
                  <c:v>236321</c:v>
                </c:pt>
                <c:pt idx="191">
                  <c:v>236041</c:v>
                </c:pt>
                <c:pt idx="192">
                  <c:v>237128</c:v>
                </c:pt>
                <c:pt idx="193">
                  <c:v>236356</c:v>
                </c:pt>
                <c:pt idx="194">
                  <c:v>238013</c:v>
                </c:pt>
                <c:pt idx="195">
                  <c:v>235250</c:v>
                </c:pt>
                <c:pt idx="196">
                  <c:v>234809</c:v>
                </c:pt>
                <c:pt idx="197">
                  <c:v>235176</c:v>
                </c:pt>
                <c:pt idx="198">
                  <c:v>236141</c:v>
                </c:pt>
                <c:pt idx="199">
                  <c:v>235399</c:v>
                </c:pt>
                <c:pt idx="200">
                  <c:v>234894</c:v>
                </c:pt>
                <c:pt idx="201">
                  <c:v>236236</c:v>
                </c:pt>
                <c:pt idx="202">
                  <c:v>236073</c:v>
                </c:pt>
                <c:pt idx="203">
                  <c:v>236721</c:v>
                </c:pt>
                <c:pt idx="204">
                  <c:v>239366</c:v>
                </c:pt>
                <c:pt idx="205">
                  <c:v>239155</c:v>
                </c:pt>
                <c:pt idx="206">
                  <c:v>239218</c:v>
                </c:pt>
                <c:pt idx="207">
                  <c:v>239401</c:v>
                </c:pt>
                <c:pt idx="208">
                  <c:v>240192</c:v>
                </c:pt>
                <c:pt idx="209">
                  <c:v>241230</c:v>
                </c:pt>
                <c:pt idx="210">
                  <c:v>242200</c:v>
                </c:pt>
                <c:pt idx="211">
                  <c:v>243265</c:v>
                </c:pt>
                <c:pt idx="212">
                  <c:v>242634</c:v>
                </c:pt>
                <c:pt idx="213">
                  <c:v>243267</c:v>
                </c:pt>
                <c:pt idx="214">
                  <c:v>244140</c:v>
                </c:pt>
                <c:pt idx="215">
                  <c:v>244804</c:v>
                </c:pt>
                <c:pt idx="216">
                  <c:v>245346</c:v>
                </c:pt>
              </c:numCache>
            </c:numRef>
          </c:val>
          <c:smooth val="0"/>
          <c:extLst>
            <c:ext xmlns:c16="http://schemas.microsoft.com/office/drawing/2014/chart" uri="{C3380CC4-5D6E-409C-BE32-E72D297353CC}">
              <c16:uniqueId val="{00000000-2A3B-4856-A8CF-906DCE71B3A3}"/>
            </c:ext>
          </c:extLst>
        </c:ser>
        <c:dLbls>
          <c:showLegendKey val="0"/>
          <c:showVal val="0"/>
          <c:showCatName val="0"/>
          <c:showSerName val="0"/>
          <c:showPercent val="0"/>
          <c:showBubbleSize val="0"/>
        </c:dLbls>
        <c:smooth val="0"/>
        <c:axId val="1233927312"/>
        <c:axId val="1233912336"/>
      </c:lineChart>
      <c:catAx>
        <c:axId val="123392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B Nazanin" panose="00000400000000000000" pitchFamily="2" charset="-78"/>
              </a:defRPr>
            </a:pPr>
            <a:endParaRPr lang="fa-IR"/>
          </a:p>
        </c:txPr>
        <c:crossAx val="1233912336"/>
        <c:crosses val="autoZero"/>
        <c:auto val="1"/>
        <c:lblAlgn val="ctr"/>
        <c:lblOffset val="100"/>
        <c:noMultiLvlLbl val="0"/>
      </c:catAx>
      <c:valAx>
        <c:axId val="123391233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B Nazanin" panose="00000400000000000000" pitchFamily="2" charset="-78"/>
              </a:defRPr>
            </a:pPr>
            <a:endParaRPr lang="fa-IR"/>
          </a:p>
        </c:txPr>
        <c:crossAx val="1233927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cs typeface="B Nazanin" panose="00000400000000000000" pitchFamily="2" charset="-78"/>
        </a:defRPr>
      </a:pPr>
      <a:endParaRPr lang="fa-I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B Nazanin" panose="00000400000000000000" pitchFamily="2" charset="-78"/>
              </a:defRPr>
            </a:pPr>
            <a:r>
              <a:rPr lang="fa-IR">
                <a:cs typeface="B Nazanin" panose="00000400000000000000" pitchFamily="2" charset="-78"/>
              </a:rPr>
              <a:t>قیمت نفت‌گازخلیج آمریکا به فوب برنت</a:t>
            </a:r>
            <a:endParaRPr lang="en-US">
              <a:cs typeface="B Nazanin" panose="00000400000000000000" pitchFamily="2" charset="-7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B Nazanin" panose="00000400000000000000" pitchFamily="2" charset="-78"/>
            </a:defRPr>
          </a:pPr>
          <a:endParaRPr lang="fa-IR"/>
        </a:p>
      </c:txPr>
    </c:title>
    <c:autoTitleDeleted val="0"/>
    <c:plotArea>
      <c:layout>
        <c:manualLayout>
          <c:layoutTarget val="inner"/>
          <c:xMode val="edge"/>
          <c:yMode val="edge"/>
          <c:x val="9.3136482939632531E-2"/>
          <c:y val="0.17171296296296298"/>
          <c:w val="0.87119685039370076"/>
          <c:h val="0.72088764946048411"/>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3684339457567804"/>
                  <c:y val="4.083916593759113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trendlineLbl>
          </c:trendline>
          <c:xVal>
            <c:numRef>
              <c:f>'نسبت قیمت نفت‌گاز به نفت برنت'!$C$5:$C$192</c:f>
              <c:numCache>
                <c:formatCode>General</c:formatCode>
                <c:ptCount val="188"/>
                <c:pt idx="0">
                  <c:v>68.56</c:v>
                </c:pt>
                <c:pt idx="1">
                  <c:v>73.67</c:v>
                </c:pt>
                <c:pt idx="2">
                  <c:v>73.23</c:v>
                </c:pt>
                <c:pt idx="3">
                  <c:v>61.96</c:v>
                </c:pt>
                <c:pt idx="4">
                  <c:v>57.81</c:v>
                </c:pt>
                <c:pt idx="5">
                  <c:v>58.76</c:v>
                </c:pt>
                <c:pt idx="6">
                  <c:v>62.47</c:v>
                </c:pt>
                <c:pt idx="7">
                  <c:v>53.68</c:v>
                </c:pt>
                <c:pt idx="8">
                  <c:v>57.56</c:v>
                </c:pt>
                <c:pt idx="9">
                  <c:v>62.05</c:v>
                </c:pt>
                <c:pt idx="10">
                  <c:v>67.489999999999995</c:v>
                </c:pt>
                <c:pt idx="11">
                  <c:v>67.209999999999994</c:v>
                </c:pt>
                <c:pt idx="12">
                  <c:v>71.05</c:v>
                </c:pt>
                <c:pt idx="13">
                  <c:v>76.930000000000007</c:v>
                </c:pt>
                <c:pt idx="14">
                  <c:v>70.760000000000005</c:v>
                </c:pt>
                <c:pt idx="15">
                  <c:v>77.17</c:v>
                </c:pt>
                <c:pt idx="16">
                  <c:v>82.34</c:v>
                </c:pt>
                <c:pt idx="17">
                  <c:v>92.41</c:v>
                </c:pt>
                <c:pt idx="18">
                  <c:v>90.93</c:v>
                </c:pt>
                <c:pt idx="19">
                  <c:v>92.18</c:v>
                </c:pt>
                <c:pt idx="20">
                  <c:v>94.99</c:v>
                </c:pt>
                <c:pt idx="21">
                  <c:v>103.64</c:v>
                </c:pt>
                <c:pt idx="22">
                  <c:v>109.07</c:v>
                </c:pt>
                <c:pt idx="23">
                  <c:v>122.8</c:v>
                </c:pt>
                <c:pt idx="24">
                  <c:v>132.32</c:v>
                </c:pt>
                <c:pt idx="25">
                  <c:v>132.72</c:v>
                </c:pt>
                <c:pt idx="26">
                  <c:v>113.24</c:v>
                </c:pt>
                <c:pt idx="27">
                  <c:v>97.23</c:v>
                </c:pt>
                <c:pt idx="28">
                  <c:v>71.58</c:v>
                </c:pt>
                <c:pt idx="29">
                  <c:v>52.45</c:v>
                </c:pt>
                <c:pt idx="30">
                  <c:v>39.950000000000003</c:v>
                </c:pt>
                <c:pt idx="31">
                  <c:v>43.44</c:v>
                </c:pt>
                <c:pt idx="32">
                  <c:v>43.32</c:v>
                </c:pt>
                <c:pt idx="33">
                  <c:v>46.54</c:v>
                </c:pt>
                <c:pt idx="34">
                  <c:v>50.18</c:v>
                </c:pt>
                <c:pt idx="35">
                  <c:v>57.3</c:v>
                </c:pt>
                <c:pt idx="36">
                  <c:v>68.61</c:v>
                </c:pt>
                <c:pt idx="37">
                  <c:v>64.44</c:v>
                </c:pt>
                <c:pt idx="38">
                  <c:v>72.510000000000005</c:v>
                </c:pt>
                <c:pt idx="39">
                  <c:v>67.650000000000006</c:v>
                </c:pt>
                <c:pt idx="40">
                  <c:v>72.77</c:v>
                </c:pt>
                <c:pt idx="41">
                  <c:v>76.66</c:v>
                </c:pt>
                <c:pt idx="42">
                  <c:v>74.459999999999994</c:v>
                </c:pt>
                <c:pt idx="43">
                  <c:v>76.17</c:v>
                </c:pt>
                <c:pt idx="44">
                  <c:v>73.75</c:v>
                </c:pt>
                <c:pt idx="45">
                  <c:v>78.83</c:v>
                </c:pt>
                <c:pt idx="46">
                  <c:v>84.82</c:v>
                </c:pt>
                <c:pt idx="47">
                  <c:v>75.95</c:v>
                </c:pt>
                <c:pt idx="48">
                  <c:v>74.760000000000005</c:v>
                </c:pt>
                <c:pt idx="49">
                  <c:v>75.58</c:v>
                </c:pt>
                <c:pt idx="50">
                  <c:v>77.040000000000006</c:v>
                </c:pt>
                <c:pt idx="51">
                  <c:v>77.84</c:v>
                </c:pt>
                <c:pt idx="52">
                  <c:v>82.67</c:v>
                </c:pt>
                <c:pt idx="53">
                  <c:v>85.28</c:v>
                </c:pt>
                <c:pt idx="54">
                  <c:v>91.45</c:v>
                </c:pt>
                <c:pt idx="55">
                  <c:v>96.52</c:v>
                </c:pt>
                <c:pt idx="56">
                  <c:v>103.72</c:v>
                </c:pt>
                <c:pt idx="57">
                  <c:v>114.64</c:v>
                </c:pt>
                <c:pt idx="58">
                  <c:v>123.26</c:v>
                </c:pt>
                <c:pt idx="59">
                  <c:v>114.99</c:v>
                </c:pt>
                <c:pt idx="60">
                  <c:v>113.83</c:v>
                </c:pt>
                <c:pt idx="61">
                  <c:v>116.97</c:v>
                </c:pt>
                <c:pt idx="62">
                  <c:v>110.22</c:v>
                </c:pt>
                <c:pt idx="63">
                  <c:v>112.83</c:v>
                </c:pt>
                <c:pt idx="64">
                  <c:v>109.55</c:v>
                </c:pt>
                <c:pt idx="65">
                  <c:v>110.77</c:v>
                </c:pt>
                <c:pt idx="66">
                  <c:v>107.87</c:v>
                </c:pt>
                <c:pt idx="67">
                  <c:v>110.69</c:v>
                </c:pt>
                <c:pt idx="68">
                  <c:v>119.33</c:v>
                </c:pt>
                <c:pt idx="69">
                  <c:v>125.45</c:v>
                </c:pt>
                <c:pt idx="70">
                  <c:v>119.75</c:v>
                </c:pt>
                <c:pt idx="71">
                  <c:v>110.34</c:v>
                </c:pt>
                <c:pt idx="72">
                  <c:v>95.16</c:v>
                </c:pt>
                <c:pt idx="73">
                  <c:v>102.62</c:v>
                </c:pt>
                <c:pt idx="74">
                  <c:v>113.36</c:v>
                </c:pt>
                <c:pt idx="75">
                  <c:v>112.86</c:v>
                </c:pt>
                <c:pt idx="76">
                  <c:v>111.71</c:v>
                </c:pt>
                <c:pt idx="77">
                  <c:v>109.06</c:v>
                </c:pt>
                <c:pt idx="78">
                  <c:v>109.49</c:v>
                </c:pt>
                <c:pt idx="79">
                  <c:v>112.96</c:v>
                </c:pt>
                <c:pt idx="80">
                  <c:v>116.05</c:v>
                </c:pt>
                <c:pt idx="81">
                  <c:v>108.47</c:v>
                </c:pt>
                <c:pt idx="82">
                  <c:v>102.25</c:v>
                </c:pt>
                <c:pt idx="83">
                  <c:v>102.56</c:v>
                </c:pt>
                <c:pt idx="84">
                  <c:v>102.92</c:v>
                </c:pt>
                <c:pt idx="85">
                  <c:v>107.93</c:v>
                </c:pt>
                <c:pt idx="86">
                  <c:v>111.28</c:v>
                </c:pt>
                <c:pt idx="87">
                  <c:v>111.6</c:v>
                </c:pt>
                <c:pt idx="88">
                  <c:v>109.08</c:v>
                </c:pt>
                <c:pt idx="89">
                  <c:v>107.79</c:v>
                </c:pt>
                <c:pt idx="90">
                  <c:v>110.76</c:v>
                </c:pt>
                <c:pt idx="91">
                  <c:v>108.12</c:v>
                </c:pt>
                <c:pt idx="92">
                  <c:v>108.9</c:v>
                </c:pt>
                <c:pt idx="93">
                  <c:v>107.48</c:v>
                </c:pt>
                <c:pt idx="94">
                  <c:v>107.76</c:v>
                </c:pt>
                <c:pt idx="95">
                  <c:v>109.54</c:v>
                </c:pt>
                <c:pt idx="96">
                  <c:v>111.8</c:v>
                </c:pt>
                <c:pt idx="97">
                  <c:v>106.77</c:v>
                </c:pt>
                <c:pt idx="98">
                  <c:v>101.61</c:v>
                </c:pt>
                <c:pt idx="99">
                  <c:v>97.09</c:v>
                </c:pt>
                <c:pt idx="100">
                  <c:v>87.43</c:v>
                </c:pt>
                <c:pt idx="101">
                  <c:v>79.44</c:v>
                </c:pt>
                <c:pt idx="102">
                  <c:v>62.34</c:v>
                </c:pt>
                <c:pt idx="103">
                  <c:v>47.76</c:v>
                </c:pt>
                <c:pt idx="104">
                  <c:v>58.1</c:v>
                </c:pt>
                <c:pt idx="105">
                  <c:v>55.89</c:v>
                </c:pt>
                <c:pt idx="106">
                  <c:v>59.52</c:v>
                </c:pt>
                <c:pt idx="107">
                  <c:v>64.08</c:v>
                </c:pt>
                <c:pt idx="108">
                  <c:v>61.48</c:v>
                </c:pt>
                <c:pt idx="109">
                  <c:v>56.56</c:v>
                </c:pt>
                <c:pt idx="110">
                  <c:v>46.52</c:v>
                </c:pt>
                <c:pt idx="111">
                  <c:v>47.62</c:v>
                </c:pt>
                <c:pt idx="112">
                  <c:v>48.43</c:v>
                </c:pt>
                <c:pt idx="113">
                  <c:v>44.27</c:v>
                </c:pt>
                <c:pt idx="114">
                  <c:v>38.01</c:v>
                </c:pt>
                <c:pt idx="115">
                  <c:v>30.7</c:v>
                </c:pt>
                <c:pt idx="116">
                  <c:v>32.18</c:v>
                </c:pt>
                <c:pt idx="117">
                  <c:v>38.21</c:v>
                </c:pt>
                <c:pt idx="118">
                  <c:v>41.58</c:v>
                </c:pt>
                <c:pt idx="119">
                  <c:v>46.74</c:v>
                </c:pt>
                <c:pt idx="120">
                  <c:v>48.25</c:v>
                </c:pt>
                <c:pt idx="121">
                  <c:v>44.95</c:v>
                </c:pt>
                <c:pt idx="122">
                  <c:v>45.84</c:v>
                </c:pt>
                <c:pt idx="123">
                  <c:v>46.57</c:v>
                </c:pt>
                <c:pt idx="124">
                  <c:v>49.52</c:v>
                </c:pt>
                <c:pt idx="125">
                  <c:v>44.73</c:v>
                </c:pt>
                <c:pt idx="126">
                  <c:v>53.31</c:v>
                </c:pt>
                <c:pt idx="127">
                  <c:v>54.58</c:v>
                </c:pt>
                <c:pt idx="128">
                  <c:v>54.87</c:v>
                </c:pt>
                <c:pt idx="129">
                  <c:v>51.59</c:v>
                </c:pt>
                <c:pt idx="130">
                  <c:v>52.31</c:v>
                </c:pt>
                <c:pt idx="131">
                  <c:v>50.33</c:v>
                </c:pt>
                <c:pt idx="132">
                  <c:v>46.37</c:v>
                </c:pt>
                <c:pt idx="133">
                  <c:v>48.48</c:v>
                </c:pt>
                <c:pt idx="134">
                  <c:v>51.7</c:v>
                </c:pt>
                <c:pt idx="135">
                  <c:v>56.15</c:v>
                </c:pt>
                <c:pt idx="136">
                  <c:v>57.51</c:v>
                </c:pt>
                <c:pt idx="137">
                  <c:v>62.71</c:v>
                </c:pt>
                <c:pt idx="138">
                  <c:v>64.37</c:v>
                </c:pt>
                <c:pt idx="139">
                  <c:v>69.08</c:v>
                </c:pt>
                <c:pt idx="140">
                  <c:v>65.319999999999993</c:v>
                </c:pt>
                <c:pt idx="141">
                  <c:v>66.02</c:v>
                </c:pt>
                <c:pt idx="142">
                  <c:v>72.11</c:v>
                </c:pt>
                <c:pt idx="143">
                  <c:v>76.98</c:v>
                </c:pt>
                <c:pt idx="144">
                  <c:v>74.41</c:v>
                </c:pt>
                <c:pt idx="145">
                  <c:v>74.25</c:v>
                </c:pt>
                <c:pt idx="146">
                  <c:v>72.53</c:v>
                </c:pt>
                <c:pt idx="147">
                  <c:v>78.89</c:v>
                </c:pt>
                <c:pt idx="148">
                  <c:v>81.03</c:v>
                </c:pt>
                <c:pt idx="149">
                  <c:v>64.75</c:v>
                </c:pt>
                <c:pt idx="150">
                  <c:v>57.36</c:v>
                </c:pt>
                <c:pt idx="151">
                  <c:v>59.41</c:v>
                </c:pt>
                <c:pt idx="152">
                  <c:v>63.96</c:v>
                </c:pt>
                <c:pt idx="153">
                  <c:v>66.14</c:v>
                </c:pt>
                <c:pt idx="154">
                  <c:v>71.23</c:v>
                </c:pt>
                <c:pt idx="155">
                  <c:v>71.319999999999993</c:v>
                </c:pt>
                <c:pt idx="156">
                  <c:v>64.22</c:v>
                </c:pt>
                <c:pt idx="157">
                  <c:v>63.92</c:v>
                </c:pt>
                <c:pt idx="158">
                  <c:v>59.04</c:v>
                </c:pt>
                <c:pt idx="159">
                  <c:v>62.83</c:v>
                </c:pt>
                <c:pt idx="160">
                  <c:v>59.71</c:v>
                </c:pt>
                <c:pt idx="161">
                  <c:v>63.21</c:v>
                </c:pt>
                <c:pt idx="162">
                  <c:v>67.31</c:v>
                </c:pt>
                <c:pt idx="163">
                  <c:v>63.65</c:v>
                </c:pt>
                <c:pt idx="164">
                  <c:v>55.66</c:v>
                </c:pt>
                <c:pt idx="165">
                  <c:v>32.01</c:v>
                </c:pt>
                <c:pt idx="166">
                  <c:v>18.38</c:v>
                </c:pt>
                <c:pt idx="167">
                  <c:v>29.38</c:v>
                </c:pt>
                <c:pt idx="168">
                  <c:v>40.270000000000003</c:v>
                </c:pt>
                <c:pt idx="169">
                  <c:v>43.24</c:v>
                </c:pt>
                <c:pt idx="170">
                  <c:v>44.74</c:v>
                </c:pt>
                <c:pt idx="171">
                  <c:v>40.909999999999997</c:v>
                </c:pt>
                <c:pt idx="172">
                  <c:v>40.19</c:v>
                </c:pt>
                <c:pt idx="173">
                  <c:v>42.69</c:v>
                </c:pt>
                <c:pt idx="174">
                  <c:v>49.99</c:v>
                </c:pt>
                <c:pt idx="175">
                  <c:v>54.77</c:v>
                </c:pt>
                <c:pt idx="176">
                  <c:v>62.28</c:v>
                </c:pt>
                <c:pt idx="177">
                  <c:v>65.41</c:v>
                </c:pt>
                <c:pt idx="178">
                  <c:v>64.81</c:v>
                </c:pt>
                <c:pt idx="179">
                  <c:v>68.53</c:v>
                </c:pt>
                <c:pt idx="180">
                  <c:v>73.16</c:v>
                </c:pt>
                <c:pt idx="181">
                  <c:v>75.17</c:v>
                </c:pt>
                <c:pt idx="182">
                  <c:v>70.75</c:v>
                </c:pt>
                <c:pt idx="183">
                  <c:v>74.489999999999995</c:v>
                </c:pt>
                <c:pt idx="184">
                  <c:v>83.54</c:v>
                </c:pt>
                <c:pt idx="185">
                  <c:v>81.05</c:v>
                </c:pt>
                <c:pt idx="186">
                  <c:v>74.17</c:v>
                </c:pt>
                <c:pt idx="187">
                  <c:v>86.51</c:v>
                </c:pt>
              </c:numCache>
            </c:numRef>
          </c:xVal>
          <c:yVal>
            <c:numRef>
              <c:f>'نسبت قیمت نفت‌گاز به نفت برنت'!$D$5:$D$192</c:f>
              <c:numCache>
                <c:formatCode>General</c:formatCode>
                <c:ptCount val="188"/>
                <c:pt idx="0">
                  <c:v>88.536000000000001</c:v>
                </c:pt>
                <c:pt idx="1">
                  <c:v>93.701999999999998</c:v>
                </c:pt>
                <c:pt idx="2">
                  <c:v>93.786000000000001</c:v>
                </c:pt>
                <c:pt idx="3">
                  <c:v>75.137999999999991</c:v>
                </c:pt>
                <c:pt idx="4">
                  <c:v>74.927999999999997</c:v>
                </c:pt>
                <c:pt idx="5">
                  <c:v>75.474000000000004</c:v>
                </c:pt>
                <c:pt idx="6">
                  <c:v>75.221999999999994</c:v>
                </c:pt>
                <c:pt idx="7">
                  <c:v>68.837999999999994</c:v>
                </c:pt>
                <c:pt idx="8">
                  <c:v>74.634</c:v>
                </c:pt>
                <c:pt idx="9">
                  <c:v>82.74</c:v>
                </c:pt>
                <c:pt idx="10">
                  <c:v>87.864000000000004</c:v>
                </c:pt>
                <c:pt idx="11">
                  <c:v>85.89</c:v>
                </c:pt>
                <c:pt idx="12">
                  <c:v>87.906000000000006</c:v>
                </c:pt>
                <c:pt idx="13">
                  <c:v>90.048000000000002</c:v>
                </c:pt>
                <c:pt idx="14">
                  <c:v>88.872</c:v>
                </c:pt>
                <c:pt idx="15">
                  <c:v>96.347999999999999</c:v>
                </c:pt>
                <c:pt idx="16">
                  <c:v>99.162000000000006</c:v>
                </c:pt>
                <c:pt idx="17">
                  <c:v>111.59399999999999</c:v>
                </c:pt>
                <c:pt idx="18">
                  <c:v>107.562</c:v>
                </c:pt>
                <c:pt idx="19">
                  <c:v>107.14200000000001</c:v>
                </c:pt>
                <c:pt idx="20">
                  <c:v>115.458</c:v>
                </c:pt>
                <c:pt idx="21">
                  <c:v>132.42599999999999</c:v>
                </c:pt>
                <c:pt idx="22">
                  <c:v>140.57400000000001</c:v>
                </c:pt>
                <c:pt idx="23">
                  <c:v>156.786</c:v>
                </c:pt>
                <c:pt idx="24">
                  <c:v>161.74199999999999</c:v>
                </c:pt>
                <c:pt idx="25">
                  <c:v>160.27199999999999</c:v>
                </c:pt>
                <c:pt idx="26">
                  <c:v>136.12200000000001</c:v>
                </c:pt>
                <c:pt idx="27">
                  <c:v>129.19200000000001</c:v>
                </c:pt>
                <c:pt idx="28">
                  <c:v>97.103999999999999</c:v>
                </c:pt>
                <c:pt idx="29">
                  <c:v>77.406000000000006</c:v>
                </c:pt>
                <c:pt idx="30">
                  <c:v>57.624000000000002</c:v>
                </c:pt>
                <c:pt idx="31">
                  <c:v>59.891999999999996</c:v>
                </c:pt>
                <c:pt idx="32">
                  <c:v>52.835999999999999</c:v>
                </c:pt>
                <c:pt idx="33">
                  <c:v>54.264000000000003</c:v>
                </c:pt>
                <c:pt idx="34">
                  <c:v>58.631999999999998</c:v>
                </c:pt>
                <c:pt idx="35">
                  <c:v>62.538000000000004</c:v>
                </c:pt>
                <c:pt idx="36">
                  <c:v>75.683999999999997</c:v>
                </c:pt>
                <c:pt idx="37">
                  <c:v>71.19</c:v>
                </c:pt>
                <c:pt idx="38">
                  <c:v>79.8</c:v>
                </c:pt>
                <c:pt idx="39">
                  <c:v>74.465999999999994</c:v>
                </c:pt>
                <c:pt idx="40">
                  <c:v>81.522000000000006</c:v>
                </c:pt>
                <c:pt idx="41">
                  <c:v>83.16</c:v>
                </c:pt>
                <c:pt idx="42">
                  <c:v>82.278000000000006</c:v>
                </c:pt>
                <c:pt idx="43">
                  <c:v>85.47</c:v>
                </c:pt>
                <c:pt idx="44">
                  <c:v>83.915999999999997</c:v>
                </c:pt>
                <c:pt idx="45">
                  <c:v>89.25</c:v>
                </c:pt>
                <c:pt idx="46">
                  <c:v>95.213999999999999</c:v>
                </c:pt>
                <c:pt idx="47">
                  <c:v>87.906000000000006</c:v>
                </c:pt>
                <c:pt idx="48">
                  <c:v>86.771999999999991</c:v>
                </c:pt>
                <c:pt idx="49">
                  <c:v>85.763999999999996</c:v>
                </c:pt>
                <c:pt idx="50">
                  <c:v>87.906000000000006</c:v>
                </c:pt>
                <c:pt idx="51">
                  <c:v>89.46</c:v>
                </c:pt>
                <c:pt idx="52">
                  <c:v>94.583999999999989</c:v>
                </c:pt>
                <c:pt idx="53">
                  <c:v>97.60799999999999</c:v>
                </c:pt>
                <c:pt idx="54">
                  <c:v>102.73200000000001</c:v>
                </c:pt>
                <c:pt idx="55">
                  <c:v>109.242</c:v>
                </c:pt>
                <c:pt idx="56">
                  <c:v>117.30600000000001</c:v>
                </c:pt>
                <c:pt idx="57">
                  <c:v>129.40199999999999</c:v>
                </c:pt>
                <c:pt idx="58">
                  <c:v>135.702</c:v>
                </c:pt>
                <c:pt idx="59">
                  <c:v>126.042</c:v>
                </c:pt>
                <c:pt idx="60">
                  <c:v>126.63000000000001</c:v>
                </c:pt>
                <c:pt idx="61">
                  <c:v>130.91399999999999</c:v>
                </c:pt>
                <c:pt idx="62">
                  <c:v>124.90800000000002</c:v>
                </c:pt>
                <c:pt idx="63">
                  <c:v>123.354</c:v>
                </c:pt>
                <c:pt idx="64">
                  <c:v>124.32</c:v>
                </c:pt>
                <c:pt idx="65">
                  <c:v>127.93199999999999</c:v>
                </c:pt>
                <c:pt idx="66">
                  <c:v>120.876</c:v>
                </c:pt>
                <c:pt idx="67">
                  <c:v>127.428</c:v>
                </c:pt>
                <c:pt idx="68">
                  <c:v>133.476</c:v>
                </c:pt>
                <c:pt idx="69">
                  <c:v>137.34</c:v>
                </c:pt>
                <c:pt idx="70">
                  <c:v>135.114</c:v>
                </c:pt>
                <c:pt idx="71">
                  <c:v>123.774</c:v>
                </c:pt>
                <c:pt idx="72">
                  <c:v>112.014</c:v>
                </c:pt>
                <c:pt idx="73">
                  <c:v>120.91800000000001</c:v>
                </c:pt>
                <c:pt idx="74">
                  <c:v>132.006</c:v>
                </c:pt>
                <c:pt idx="75">
                  <c:v>133.81200000000001</c:v>
                </c:pt>
                <c:pt idx="76">
                  <c:v>132.59399999999999</c:v>
                </c:pt>
                <c:pt idx="77">
                  <c:v>125.874</c:v>
                </c:pt>
                <c:pt idx="78">
                  <c:v>124.32</c:v>
                </c:pt>
                <c:pt idx="79">
                  <c:v>127.848</c:v>
                </c:pt>
                <c:pt idx="80">
                  <c:v>134.4</c:v>
                </c:pt>
                <c:pt idx="81">
                  <c:v>126.29400000000001</c:v>
                </c:pt>
                <c:pt idx="82">
                  <c:v>120.91800000000001</c:v>
                </c:pt>
                <c:pt idx="83">
                  <c:v>119.40600000000001</c:v>
                </c:pt>
                <c:pt idx="84">
                  <c:v>120.16200000000001</c:v>
                </c:pt>
                <c:pt idx="85">
                  <c:v>125.202</c:v>
                </c:pt>
                <c:pt idx="86">
                  <c:v>127.68</c:v>
                </c:pt>
                <c:pt idx="87">
                  <c:v>126.58799999999999</c:v>
                </c:pt>
                <c:pt idx="88">
                  <c:v>123.27</c:v>
                </c:pt>
                <c:pt idx="89">
                  <c:v>119.99400000000001</c:v>
                </c:pt>
                <c:pt idx="90">
                  <c:v>124.026</c:v>
                </c:pt>
                <c:pt idx="91">
                  <c:v>122.34599999999999</c:v>
                </c:pt>
                <c:pt idx="92">
                  <c:v>124.866</c:v>
                </c:pt>
                <c:pt idx="93">
                  <c:v>122.514</c:v>
                </c:pt>
                <c:pt idx="94">
                  <c:v>123.14399999999999</c:v>
                </c:pt>
                <c:pt idx="95">
                  <c:v>121.96799999999999</c:v>
                </c:pt>
                <c:pt idx="96">
                  <c:v>122.68199999999999</c:v>
                </c:pt>
                <c:pt idx="97">
                  <c:v>119.364</c:v>
                </c:pt>
                <c:pt idx="98">
                  <c:v>118.48200000000001</c:v>
                </c:pt>
                <c:pt idx="99">
                  <c:v>113.77800000000001</c:v>
                </c:pt>
                <c:pt idx="100">
                  <c:v>105</c:v>
                </c:pt>
                <c:pt idx="101">
                  <c:v>97.188000000000002</c:v>
                </c:pt>
                <c:pt idx="102">
                  <c:v>74.927999999999997</c:v>
                </c:pt>
                <c:pt idx="103">
                  <c:v>64.301999999999992</c:v>
                </c:pt>
                <c:pt idx="104">
                  <c:v>76.608000000000004</c:v>
                </c:pt>
                <c:pt idx="105">
                  <c:v>71.862000000000009</c:v>
                </c:pt>
                <c:pt idx="106">
                  <c:v>74.591999999999999</c:v>
                </c:pt>
                <c:pt idx="107">
                  <c:v>80.513999999999996</c:v>
                </c:pt>
                <c:pt idx="108">
                  <c:v>75.683999999999997</c:v>
                </c:pt>
                <c:pt idx="109">
                  <c:v>68.207999999999998</c:v>
                </c:pt>
                <c:pt idx="110">
                  <c:v>61.446000000000005</c:v>
                </c:pt>
                <c:pt idx="111">
                  <c:v>60.647999999999996</c:v>
                </c:pt>
                <c:pt idx="112">
                  <c:v>59.555999999999997</c:v>
                </c:pt>
                <c:pt idx="113">
                  <c:v>56.741999999999997</c:v>
                </c:pt>
                <c:pt idx="114">
                  <c:v>45.738</c:v>
                </c:pt>
                <c:pt idx="115">
                  <c:v>40.235999999999997</c:v>
                </c:pt>
                <c:pt idx="116">
                  <c:v>41.957999999999998</c:v>
                </c:pt>
                <c:pt idx="117">
                  <c:v>47.334000000000003</c:v>
                </c:pt>
                <c:pt idx="118">
                  <c:v>50.358000000000004</c:v>
                </c:pt>
                <c:pt idx="119">
                  <c:v>57.875999999999998</c:v>
                </c:pt>
                <c:pt idx="120">
                  <c:v>61.32</c:v>
                </c:pt>
                <c:pt idx="121">
                  <c:v>56.405999999999999</c:v>
                </c:pt>
                <c:pt idx="122">
                  <c:v>57.917999999999999</c:v>
                </c:pt>
                <c:pt idx="123">
                  <c:v>58.8</c:v>
                </c:pt>
                <c:pt idx="124">
                  <c:v>64.847999999999999</c:v>
                </c:pt>
                <c:pt idx="125">
                  <c:v>59.934000000000005</c:v>
                </c:pt>
                <c:pt idx="126">
                  <c:v>67.032000000000011</c:v>
                </c:pt>
                <c:pt idx="127">
                  <c:v>66.906000000000006</c:v>
                </c:pt>
                <c:pt idx="128">
                  <c:v>67.536000000000001</c:v>
                </c:pt>
                <c:pt idx="129">
                  <c:v>63.084000000000003</c:v>
                </c:pt>
                <c:pt idx="130">
                  <c:v>65.436000000000007</c:v>
                </c:pt>
                <c:pt idx="131">
                  <c:v>62.244</c:v>
                </c:pt>
                <c:pt idx="132">
                  <c:v>58.211999999999996</c:v>
                </c:pt>
                <c:pt idx="133">
                  <c:v>62.411999999999999</c:v>
                </c:pt>
                <c:pt idx="134">
                  <c:v>67.242000000000004</c:v>
                </c:pt>
                <c:pt idx="135">
                  <c:v>74.634</c:v>
                </c:pt>
                <c:pt idx="136">
                  <c:v>73.751999999999995</c:v>
                </c:pt>
                <c:pt idx="137">
                  <c:v>77.742000000000004</c:v>
                </c:pt>
                <c:pt idx="138">
                  <c:v>78.414000000000001</c:v>
                </c:pt>
                <c:pt idx="139">
                  <c:v>83.831999999999994</c:v>
                </c:pt>
                <c:pt idx="140">
                  <c:v>79.59</c:v>
                </c:pt>
                <c:pt idx="141">
                  <c:v>79.59</c:v>
                </c:pt>
                <c:pt idx="142">
                  <c:v>85.217999999999989</c:v>
                </c:pt>
                <c:pt idx="143">
                  <c:v>91.602000000000004</c:v>
                </c:pt>
                <c:pt idx="144">
                  <c:v>88.283999999999992</c:v>
                </c:pt>
                <c:pt idx="145">
                  <c:v>88.116</c:v>
                </c:pt>
                <c:pt idx="146">
                  <c:v>88.787999999999997</c:v>
                </c:pt>
                <c:pt idx="147">
                  <c:v>92.82</c:v>
                </c:pt>
                <c:pt idx="148">
                  <c:v>95.843999999999994</c:v>
                </c:pt>
                <c:pt idx="149">
                  <c:v>82.403999999999996</c:v>
                </c:pt>
                <c:pt idx="150">
                  <c:v>70.853999999999999</c:v>
                </c:pt>
                <c:pt idx="151">
                  <c:v>74.507999999999996</c:v>
                </c:pt>
                <c:pt idx="152">
                  <c:v>80.135999999999996</c:v>
                </c:pt>
                <c:pt idx="153">
                  <c:v>81.438000000000002</c:v>
                </c:pt>
                <c:pt idx="154">
                  <c:v>84.504000000000005</c:v>
                </c:pt>
                <c:pt idx="155">
                  <c:v>83.286000000000001</c:v>
                </c:pt>
                <c:pt idx="156">
                  <c:v>75.893999999999991</c:v>
                </c:pt>
                <c:pt idx="157">
                  <c:v>78.665999999999997</c:v>
                </c:pt>
                <c:pt idx="158">
                  <c:v>75.096000000000004</c:v>
                </c:pt>
                <c:pt idx="159">
                  <c:v>79.59</c:v>
                </c:pt>
                <c:pt idx="160">
                  <c:v>78.792000000000002</c:v>
                </c:pt>
                <c:pt idx="161">
                  <c:v>77.195999999999998</c:v>
                </c:pt>
                <c:pt idx="162">
                  <c:v>79.757999999999996</c:v>
                </c:pt>
                <c:pt idx="163">
                  <c:v>74.34</c:v>
                </c:pt>
                <c:pt idx="164">
                  <c:v>65.183999999999997</c:v>
                </c:pt>
                <c:pt idx="165">
                  <c:v>47.208000000000006</c:v>
                </c:pt>
                <c:pt idx="166">
                  <c:v>33.768000000000001</c:v>
                </c:pt>
                <c:pt idx="167">
                  <c:v>35.195999999999998</c:v>
                </c:pt>
                <c:pt idx="168">
                  <c:v>45.485999999999997</c:v>
                </c:pt>
                <c:pt idx="169">
                  <c:v>49.98</c:v>
                </c:pt>
                <c:pt idx="170">
                  <c:v>50.231999999999999</c:v>
                </c:pt>
                <c:pt idx="171">
                  <c:v>45.444000000000003</c:v>
                </c:pt>
                <c:pt idx="172">
                  <c:v>46.494</c:v>
                </c:pt>
                <c:pt idx="173">
                  <c:v>50.862000000000002</c:v>
                </c:pt>
                <c:pt idx="174">
                  <c:v>58.926000000000002</c:v>
                </c:pt>
                <c:pt idx="175">
                  <c:v>63.965999999999994</c:v>
                </c:pt>
                <c:pt idx="176">
                  <c:v>73.248000000000005</c:v>
                </c:pt>
                <c:pt idx="177">
                  <c:v>76.608000000000004</c:v>
                </c:pt>
                <c:pt idx="178">
                  <c:v>76.146000000000001</c:v>
                </c:pt>
                <c:pt idx="179">
                  <c:v>82.782000000000011</c:v>
                </c:pt>
                <c:pt idx="180">
                  <c:v>86.856000000000009</c:v>
                </c:pt>
                <c:pt idx="181">
                  <c:v>86.982000000000014</c:v>
                </c:pt>
                <c:pt idx="182">
                  <c:v>84.63000000000001</c:v>
                </c:pt>
                <c:pt idx="183">
                  <c:v>90.384</c:v>
                </c:pt>
                <c:pt idx="184">
                  <c:v>103.11</c:v>
                </c:pt>
                <c:pt idx="185">
                  <c:v>97.60799999999999</c:v>
                </c:pt>
                <c:pt idx="186">
                  <c:v>92.19</c:v>
                </c:pt>
                <c:pt idx="187">
                  <c:v>107.1</c:v>
                </c:pt>
              </c:numCache>
            </c:numRef>
          </c:yVal>
          <c:smooth val="0"/>
          <c:extLst>
            <c:ext xmlns:c16="http://schemas.microsoft.com/office/drawing/2014/chart" uri="{C3380CC4-5D6E-409C-BE32-E72D297353CC}">
              <c16:uniqueId val="{00000000-6E9B-476D-A7C8-63D226F8A88C}"/>
            </c:ext>
          </c:extLst>
        </c:ser>
        <c:dLbls>
          <c:showLegendKey val="0"/>
          <c:showVal val="0"/>
          <c:showCatName val="0"/>
          <c:showSerName val="0"/>
          <c:showPercent val="0"/>
          <c:showBubbleSize val="0"/>
        </c:dLbls>
        <c:axId val="1757975423"/>
        <c:axId val="1481257039"/>
      </c:scatterChart>
      <c:valAx>
        <c:axId val="17579754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rtl="1">
                  <a:defRPr sz="1000" b="0" i="0" u="none" strike="noStrike" kern="1200" baseline="0">
                    <a:solidFill>
                      <a:schemeClr val="tx1">
                        <a:lumMod val="65000"/>
                        <a:lumOff val="35000"/>
                      </a:schemeClr>
                    </a:solidFill>
                    <a:latin typeface="+mn-lt"/>
                    <a:ea typeface="+mn-ea"/>
                    <a:cs typeface="+mn-cs"/>
                  </a:defRPr>
                </a:pPr>
                <a:r>
                  <a:rPr lang="fa-IR"/>
                  <a:t>برنت(</a:t>
                </a:r>
                <a:r>
                  <a:rPr lang="en-US"/>
                  <a:t>FOB</a:t>
                </a:r>
                <a:r>
                  <a:rPr lang="fa-IR"/>
                  <a:t>)</a:t>
                </a:r>
                <a:endParaRPr lang="en-US"/>
              </a:p>
            </c:rich>
          </c:tx>
          <c:layout/>
          <c:overlay val="0"/>
          <c:spPr>
            <a:noFill/>
            <a:ln>
              <a:noFill/>
            </a:ln>
            <a:effectLst/>
          </c:spPr>
          <c:txPr>
            <a:bodyPr rot="0" spcFirstLastPara="1" vertOverflow="ellipsis" vert="horz" wrap="square" anchor="ctr" anchorCtr="1"/>
            <a:lstStyle/>
            <a:p>
              <a:pPr rtl="1">
                <a:defRPr sz="1000" b="0" i="0" u="none" strike="noStrike" kern="1200" baseline="0">
                  <a:solidFill>
                    <a:schemeClr val="tx1">
                      <a:lumMod val="65000"/>
                      <a:lumOff val="35000"/>
                    </a:schemeClr>
                  </a:solidFill>
                  <a:latin typeface="+mn-lt"/>
                  <a:ea typeface="+mn-ea"/>
                  <a:cs typeface="+mn-cs"/>
                </a:defRPr>
              </a:pPr>
              <a:endParaRPr lang="fa-I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1481257039"/>
        <c:crosses val="autoZero"/>
        <c:crossBetween val="midCat"/>
      </c:valAx>
      <c:valAx>
        <c:axId val="148125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B Nazanin" panose="00000400000000000000" pitchFamily="2" charset="-78"/>
                  </a:defRPr>
                </a:pPr>
                <a:r>
                  <a:rPr lang="fa-IR">
                    <a:cs typeface="B Nazanin" panose="00000400000000000000" pitchFamily="2" charset="-78"/>
                  </a:rPr>
                  <a:t>نفت‌گاز خلیج</a:t>
                </a:r>
                <a:r>
                  <a:rPr lang="fa-IR" baseline="0">
                    <a:cs typeface="B Nazanin" panose="00000400000000000000" pitchFamily="2" charset="-78"/>
                  </a:rPr>
                  <a:t> آمریکا</a:t>
                </a:r>
                <a:endParaRPr lang="en-US">
                  <a:cs typeface="B Nazanin" panose="00000400000000000000" pitchFamily="2" charset="-78"/>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B Nazanin" panose="00000400000000000000" pitchFamily="2" charset="-78"/>
                </a:defRPr>
              </a:pPr>
              <a:endParaRPr lang="fa-I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1757975423"/>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146227</xdr:colOff>
      <xdr:row>1</xdr:row>
      <xdr:rowOff>58491</xdr:rowOff>
    </xdr:from>
    <xdr:to>
      <xdr:col>7</xdr:col>
      <xdr:colOff>604402</xdr:colOff>
      <xdr:row>22</xdr:row>
      <xdr:rowOff>136477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484496</xdr:colOff>
      <xdr:row>3</xdr:row>
      <xdr:rowOff>40944</xdr:rowOff>
    </xdr:from>
    <xdr:to>
      <xdr:col>17</xdr:col>
      <xdr:colOff>286603</xdr:colOff>
      <xdr:row>14</xdr:row>
      <xdr:rowOff>225189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197894</xdr:colOff>
      <xdr:row>15</xdr:row>
      <xdr:rowOff>129653</xdr:rowOff>
    </xdr:from>
    <xdr:to>
      <xdr:col>17</xdr:col>
      <xdr:colOff>191070</xdr:colOff>
      <xdr:row>26</xdr:row>
      <xdr:rowOff>68239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191069</xdr:colOff>
      <xdr:row>26</xdr:row>
      <xdr:rowOff>232011</xdr:rowOff>
    </xdr:from>
    <xdr:to>
      <xdr:col>17</xdr:col>
      <xdr:colOff>184245</xdr:colOff>
      <xdr:row>37</xdr:row>
      <xdr:rowOff>170596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1142024</xdr:colOff>
      <xdr:row>24</xdr:row>
      <xdr:rowOff>170598</xdr:rowOff>
    </xdr:from>
    <xdr:to>
      <xdr:col>10</xdr:col>
      <xdr:colOff>892952</xdr:colOff>
      <xdr:row>33</xdr:row>
      <xdr:rowOff>129653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436586</xdr:colOff>
      <xdr:row>27</xdr:row>
      <xdr:rowOff>128271</xdr:rowOff>
    </xdr:from>
    <xdr:to>
      <xdr:col>9</xdr:col>
      <xdr:colOff>1075699</xdr:colOff>
      <xdr:row>28</xdr:row>
      <xdr:rowOff>80550</xdr:rowOff>
    </xdr:to>
    <xdr:sp macro="" textlink="">
      <xdr:nvSpPr>
        <xdr:cNvPr id="3" name="Right Arrow 2"/>
        <xdr:cNvSpPr/>
      </xdr:nvSpPr>
      <xdr:spPr>
        <a:xfrm rot="21011293">
          <a:off x="3985004" y="6945328"/>
          <a:ext cx="3109358" cy="204762"/>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fa-I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2405349</xdr:colOff>
      <xdr:row>27</xdr:row>
      <xdr:rowOff>201977</xdr:rowOff>
    </xdr:from>
    <xdr:to>
      <xdr:col>5</xdr:col>
      <xdr:colOff>148555</xdr:colOff>
      <xdr:row>31</xdr:row>
      <xdr:rowOff>60002</xdr:rowOff>
    </xdr:to>
    <xdr:sp macro="" textlink="">
      <xdr:nvSpPr>
        <xdr:cNvPr id="2" name="Rectangle: Rounded Corners 1">
          <a:extLst>
            <a:ext uri="{FF2B5EF4-FFF2-40B4-BE49-F238E27FC236}">
              <a16:creationId xmlns:a16="http://schemas.microsoft.com/office/drawing/2014/main" id="{4892F4DE-DC0F-4EDE-923A-BD2F245E7E9F}"/>
            </a:ext>
          </a:extLst>
        </xdr:cNvPr>
        <xdr:cNvSpPr/>
      </xdr:nvSpPr>
      <xdr:spPr>
        <a:xfrm>
          <a:off x="3011277" y="7142604"/>
          <a:ext cx="5574362" cy="88626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rtl="1"/>
          <a:r>
            <a:rPr lang="fa-IR" sz="1200">
              <a:cs typeface="B Nazanin" panose="00000400000000000000" pitchFamily="2" charset="-78"/>
            </a:rPr>
            <a:t>برای</a:t>
          </a:r>
          <a:r>
            <a:rPr lang="fa-IR" sz="1200" baseline="0">
              <a:cs typeface="B Nazanin" panose="00000400000000000000" pitchFamily="2" charset="-78"/>
            </a:rPr>
            <a:t> </a:t>
          </a:r>
          <a:r>
            <a:rPr lang="fa-IR" sz="1400" b="1" baseline="0">
              <a:cs typeface="B Nazanin" panose="00000400000000000000" pitchFamily="2" charset="-78"/>
            </a:rPr>
            <a:t>محاسبه دلار نیما </a:t>
          </a:r>
          <a:r>
            <a:rPr lang="fa-IR" sz="1200" baseline="0">
              <a:cs typeface="B Nazanin" panose="00000400000000000000" pitchFamily="2" charset="-78"/>
            </a:rPr>
            <a:t>3 ماهه منتهی به 1400 نرخ دلار نیما در تاریخ </a:t>
          </a:r>
          <a:r>
            <a:rPr lang="fa-IR" sz="1200" b="1" baseline="0">
              <a:cs typeface="B Nazanin" panose="00000400000000000000" pitchFamily="2" charset="-78"/>
            </a:rPr>
            <a:t>1دی</a:t>
          </a:r>
          <a:r>
            <a:rPr lang="fa-IR" sz="1200" baseline="0">
              <a:cs typeface="B Nazanin" panose="00000400000000000000" pitchFamily="2" charset="-78"/>
            </a:rPr>
            <a:t> را در تورم </a:t>
          </a:r>
          <a:r>
            <a:rPr lang="en-US" sz="1200" baseline="0">
              <a:cs typeface="B Nazanin" panose="00000400000000000000" pitchFamily="2" charset="-78"/>
            </a:rPr>
            <a:t>IMF</a:t>
          </a:r>
          <a:r>
            <a:rPr lang="fa-IR" sz="1200" baseline="0">
              <a:cs typeface="B Nazanin" panose="00000400000000000000" pitchFamily="2" charset="-78"/>
            </a:rPr>
            <a:t> ضرب کردم(تورم به اندازه 3 ماه، یعنی </a:t>
          </a:r>
          <a:r>
            <a:rPr lang="fa-IR" sz="1400" baseline="0">
              <a:cs typeface="B Nazanin" panose="00000400000000000000" pitchFamily="2" charset="-78"/>
            </a:rPr>
            <a:t>27.5/4</a:t>
          </a:r>
          <a:r>
            <a:rPr lang="fa-IR" sz="1200" baseline="0">
              <a:cs typeface="B Nazanin" panose="00000400000000000000" pitchFamily="2" charset="-78"/>
            </a:rPr>
            <a:t>) و میانگین گرفتم. برای سال‌های بعد نیز با تورم </a:t>
          </a:r>
          <a:r>
            <a:rPr lang="en-US" sz="1200" baseline="0">
              <a:cs typeface="B Nazanin" panose="00000400000000000000" pitchFamily="2" charset="-78"/>
            </a:rPr>
            <a:t>IMF</a:t>
          </a:r>
          <a:r>
            <a:rPr lang="fa-IR" sz="1200" baseline="0">
              <a:cs typeface="B Nazanin" panose="00000400000000000000" pitchFamily="2" charset="-78"/>
            </a:rPr>
            <a:t> حساب شده است.</a:t>
          </a:r>
          <a:endParaRPr lang="en-US" sz="1400">
            <a:cs typeface="B Nazanin" panose="00000400000000000000" pitchFamily="2" charset="-78"/>
          </a:endParaRPr>
        </a:p>
      </xdr:txBody>
    </xdr:sp>
    <xdr:clientData/>
  </xdr:twoCellAnchor>
  <xdr:twoCellAnchor>
    <xdr:from>
      <xdr:col>1</xdr:col>
      <xdr:colOff>2389025</xdr:colOff>
      <xdr:row>31</xdr:row>
      <xdr:rowOff>127026</xdr:rowOff>
    </xdr:from>
    <xdr:to>
      <xdr:col>5</xdr:col>
      <xdr:colOff>146892</xdr:colOff>
      <xdr:row>36</xdr:row>
      <xdr:rowOff>156072</xdr:rowOff>
    </xdr:to>
    <xdr:sp macro="" textlink="">
      <xdr:nvSpPr>
        <xdr:cNvPr id="3" name="Rectangle: Rounded Corners 2">
          <a:extLst>
            <a:ext uri="{FF2B5EF4-FFF2-40B4-BE49-F238E27FC236}">
              <a16:creationId xmlns:a16="http://schemas.microsoft.com/office/drawing/2014/main" id="{D9E20280-A892-458C-91E6-86D0CADF7999}"/>
            </a:ext>
          </a:extLst>
        </xdr:cNvPr>
        <xdr:cNvSpPr/>
      </xdr:nvSpPr>
      <xdr:spPr>
        <a:xfrm>
          <a:off x="2994953" y="7838833"/>
          <a:ext cx="5589023" cy="131434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rtl="1"/>
          <a:r>
            <a:rPr lang="fa-IR" sz="1200">
              <a:cs typeface="B Nazanin" panose="00000400000000000000" pitchFamily="2" charset="-78"/>
            </a:rPr>
            <a:t>برای</a:t>
          </a:r>
          <a:r>
            <a:rPr lang="fa-IR" sz="1200" baseline="0">
              <a:cs typeface="B Nazanin" panose="00000400000000000000" pitchFamily="2" charset="-78"/>
            </a:rPr>
            <a:t> بدست آوردن </a:t>
          </a:r>
          <a:r>
            <a:rPr lang="fa-IR" sz="1400" b="1" baseline="0">
              <a:cs typeface="B Nazanin" panose="00000400000000000000" pitchFamily="2" charset="-78"/>
            </a:rPr>
            <a:t>قیمت هر مترمکعب نفت‌گاز </a:t>
          </a:r>
          <a:r>
            <a:rPr lang="fa-IR" sz="1200" baseline="0">
              <a:cs typeface="B Nazanin" panose="00000400000000000000" pitchFamily="2" charset="-78"/>
            </a:rPr>
            <a:t>طبق برگه "نسبت قیمت نفت‌گاز خلیج آمریکا به نفت برنت" رابطه‌ای پیدا کردیم. حال با توجه به پیش‌بینی رویترز از قیمت نفت برنت درصد تغییرات نفت‌گاز خلیج آمریکا را بدست می‌آوریم. سپس با توجه به فرض 100% بود همبستگی بین قیمت نفت‌گازهای جهان، درصد تغییر قیمت نفت‌گاز خلیج آمریکا برابر درصد تغییر نفت‌گاز فوب خلیج‌فارس است.</a:t>
          </a:r>
          <a:r>
            <a:rPr lang="en-US" sz="1200" baseline="0">
              <a:cs typeface="B Nazanin" panose="00000400000000000000" pitchFamily="2" charset="-78"/>
            </a:rPr>
            <a:t> </a:t>
          </a:r>
          <a:r>
            <a:rPr lang="fa-IR" sz="1200" baseline="0">
              <a:cs typeface="B Nazanin" panose="00000400000000000000" pitchFamily="2" charset="-78"/>
            </a:rPr>
            <a:t> </a:t>
          </a:r>
        </a:p>
        <a:p>
          <a:pPr algn="r" rtl="1"/>
          <a:r>
            <a:rPr lang="fa-IR" sz="1200" baseline="0">
              <a:cs typeface="B Nazanin" panose="00000400000000000000" pitchFamily="2" charset="-78"/>
            </a:rPr>
            <a:t>برای درصد تغییرات ژانویه 2022 را مبداء قرار میدهیم.</a:t>
          </a:r>
          <a:endParaRPr lang="en-US" sz="1400">
            <a:cs typeface="B Nazanin" panose="00000400000000000000" pitchFamily="2" charset="-78"/>
          </a:endParaRPr>
        </a:p>
      </xdr:txBody>
    </xdr:sp>
    <xdr:clientData/>
  </xdr:twoCellAnchor>
  <xdr:twoCellAnchor>
    <xdr:from>
      <xdr:col>1</xdr:col>
      <xdr:colOff>2432892</xdr:colOff>
      <xdr:row>23</xdr:row>
      <xdr:rowOff>137711</xdr:rowOff>
    </xdr:from>
    <xdr:to>
      <xdr:col>5</xdr:col>
      <xdr:colOff>156073</xdr:colOff>
      <xdr:row>27</xdr:row>
      <xdr:rowOff>174433</xdr:rowOff>
    </xdr:to>
    <xdr:sp macro="" textlink="">
      <xdr:nvSpPr>
        <xdr:cNvPr id="4" name="Rectangle: Rounded Corners 3">
          <a:extLst>
            <a:ext uri="{FF2B5EF4-FFF2-40B4-BE49-F238E27FC236}">
              <a16:creationId xmlns:a16="http://schemas.microsoft.com/office/drawing/2014/main" id="{F9BE991D-D9CF-4D22-A5C2-FD61E9DE027D}"/>
            </a:ext>
          </a:extLst>
        </xdr:cNvPr>
        <xdr:cNvSpPr/>
      </xdr:nvSpPr>
      <xdr:spPr>
        <a:xfrm>
          <a:off x="3038820" y="6050097"/>
          <a:ext cx="5554337" cy="106496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rtl="1"/>
          <a:r>
            <a:rPr lang="fa-IR" sz="1400" b="1">
              <a:cs typeface="B Nazanin" panose="00000400000000000000" pitchFamily="2" charset="-78"/>
            </a:rPr>
            <a:t>درصد ظرفیت عملی </a:t>
          </a:r>
          <a:r>
            <a:rPr lang="fa-IR" sz="1200">
              <a:cs typeface="B Nazanin" panose="00000400000000000000" pitchFamily="2" charset="-78"/>
            </a:rPr>
            <a:t>در سال</a:t>
          </a:r>
          <a:r>
            <a:rPr lang="fa-IR" sz="1200" baseline="0">
              <a:cs typeface="B Nazanin" panose="00000400000000000000" pitchFamily="2" charset="-78"/>
            </a:rPr>
            <a:t> 1400 شاهد رشد چشمگیری بود( به دلیل تقاضای جهانی، بهتر شدن شرایط کووید و ...). اما فرض شده که شرایط تقاضا به این صورت نمی‌ماند و درنهایت به سطح 89% که قبل تحریم‌ها و کووید شاهد بودیم می‌رسیم.</a:t>
          </a:r>
        </a:p>
        <a:p>
          <a:pPr algn="r" rtl="1"/>
          <a:r>
            <a:rPr lang="fa-IR" sz="1200" baseline="0">
              <a:cs typeface="B Nazanin" panose="00000400000000000000" pitchFamily="2" charset="-78"/>
            </a:rPr>
            <a:t>این حرکت به سمت 89% درصد به صورت خطی تا سال 1404 اعمال شده است.</a:t>
          </a:r>
          <a:endParaRPr lang="en-US" sz="1400">
            <a:cs typeface="B Nazanin" panose="00000400000000000000" pitchFamily="2" charset="-78"/>
          </a:endParaRPr>
        </a:p>
      </xdr:txBody>
    </xdr:sp>
    <xdr:clientData/>
  </xdr:twoCellAnchor>
  <xdr:twoCellAnchor>
    <xdr:from>
      <xdr:col>1</xdr:col>
      <xdr:colOff>2396169</xdr:colOff>
      <xdr:row>20</xdr:row>
      <xdr:rowOff>165253</xdr:rowOff>
    </xdr:from>
    <xdr:to>
      <xdr:col>5</xdr:col>
      <xdr:colOff>139375</xdr:colOff>
      <xdr:row>22</xdr:row>
      <xdr:rowOff>243614</xdr:rowOff>
    </xdr:to>
    <xdr:sp macro="" textlink="">
      <xdr:nvSpPr>
        <xdr:cNvPr id="5" name="Rectangle: Rounded Corners 4">
          <a:extLst>
            <a:ext uri="{FF2B5EF4-FFF2-40B4-BE49-F238E27FC236}">
              <a16:creationId xmlns:a16="http://schemas.microsoft.com/office/drawing/2014/main" id="{9D33E5BE-DBEE-4B24-8869-2D8AEDC36C47}"/>
            </a:ext>
          </a:extLst>
        </xdr:cNvPr>
        <xdr:cNvSpPr/>
      </xdr:nvSpPr>
      <xdr:spPr>
        <a:xfrm>
          <a:off x="3002097" y="5306458"/>
          <a:ext cx="5574362" cy="59248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rtl="1"/>
          <a:r>
            <a:rPr lang="fa-IR" sz="1200">
              <a:cs typeface="B Nazanin" panose="00000400000000000000" pitchFamily="2" charset="-78"/>
            </a:rPr>
            <a:t>منظور</a:t>
          </a:r>
          <a:r>
            <a:rPr lang="fa-IR" sz="1200" baseline="0">
              <a:cs typeface="B Nazanin" panose="00000400000000000000" pitchFamily="2" charset="-78"/>
            </a:rPr>
            <a:t> از </a:t>
          </a:r>
          <a:r>
            <a:rPr lang="fa-IR" sz="1400" b="1" baseline="0">
              <a:cs typeface="B Nazanin" panose="00000400000000000000" pitchFamily="2" charset="-78"/>
            </a:rPr>
            <a:t>ظرفیت سالانه</a:t>
          </a:r>
          <a:r>
            <a:rPr lang="fa-IR" sz="1200" baseline="0">
              <a:cs typeface="B Nazanin" panose="00000400000000000000" pitchFamily="2" charset="-78"/>
            </a:rPr>
            <a:t>، ظرفیت اسمی در هر دوره است. برای مثال برای ستوان </a:t>
          </a:r>
          <a:r>
            <a:rPr lang="en-US" sz="1200" baseline="0">
              <a:cs typeface="B Nazanin" panose="00000400000000000000" pitchFamily="2" charset="-78"/>
            </a:rPr>
            <a:t>1400(Q4)</a:t>
          </a:r>
          <a:r>
            <a:rPr lang="fa-IR" sz="1200" baseline="0">
              <a:cs typeface="B Nazanin" panose="00000400000000000000" pitchFamily="2" charset="-78"/>
            </a:rPr>
            <a:t>، ظرفیت اسمی سالانه همان ظرفیت اسمی در 3 ماه است.</a:t>
          </a:r>
          <a:endParaRPr lang="en-US" sz="1400">
            <a:cs typeface="B Nazanin" panose="00000400000000000000" pitchFamily="2" charset="-7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564777</xdr:colOff>
      <xdr:row>31</xdr:row>
      <xdr:rowOff>8963</xdr:rowOff>
    </xdr:from>
    <xdr:to>
      <xdr:col>12</xdr:col>
      <xdr:colOff>303115</xdr:colOff>
      <xdr:row>34</xdr:row>
      <xdr:rowOff>115300</xdr:rowOff>
    </xdr:to>
    <xdr:sp macro="" textlink="">
      <xdr:nvSpPr>
        <xdr:cNvPr id="4" name="Rectangle: Rounded Corners 3">
          <a:extLst>
            <a:ext uri="{FF2B5EF4-FFF2-40B4-BE49-F238E27FC236}">
              <a16:creationId xmlns:a16="http://schemas.microsoft.com/office/drawing/2014/main" id="{9571AA3E-6ECD-4D5C-86EF-3C90A3F7F8D7}"/>
            </a:ext>
          </a:extLst>
        </xdr:cNvPr>
        <xdr:cNvSpPr/>
      </xdr:nvSpPr>
      <xdr:spPr>
        <a:xfrm>
          <a:off x="15473083" y="8059269"/>
          <a:ext cx="4552385" cy="88626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rtl="1"/>
          <a:r>
            <a:rPr lang="fa-IR" sz="1100">
              <a:cs typeface="B Nazanin" panose="00000400000000000000" pitchFamily="2" charset="-78"/>
            </a:rPr>
            <a:t>در جدول آخر باتوجه</a:t>
          </a:r>
          <a:r>
            <a:rPr lang="fa-IR" sz="1100" baseline="0">
              <a:cs typeface="B Nazanin" panose="00000400000000000000" pitchFamily="2" charset="-78"/>
            </a:rPr>
            <a:t> به افزایش شدید قیمت نفت، یک پیش‌بینی جدید از 3 ماه آخر ارائه دادیم.</a:t>
          </a:r>
          <a:endParaRPr lang="en-US" sz="1200">
            <a:cs typeface="B Nazanin" panose="00000400000000000000" pitchFamily="2" charset="-78"/>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359392</xdr:colOff>
      <xdr:row>6</xdr:row>
      <xdr:rowOff>0</xdr:rowOff>
    </xdr:from>
    <xdr:to>
      <xdr:col>14</xdr:col>
      <xdr:colOff>602874</xdr:colOff>
      <xdr:row>11</xdr:row>
      <xdr:rowOff>76932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699242" y="4833582"/>
          <a:ext cx="6899203" cy="1362097"/>
        </a:xfrm>
        <a:prstGeom prst="rect">
          <a:avLst/>
        </a:prstGeom>
      </xdr:spPr>
    </xdr:pic>
    <xdr:clientData/>
  </xdr:twoCellAnchor>
  <xdr:twoCellAnchor>
    <xdr:from>
      <xdr:col>21</xdr:col>
      <xdr:colOff>799368</xdr:colOff>
      <xdr:row>12</xdr:row>
      <xdr:rowOff>146225</xdr:rowOff>
    </xdr:from>
    <xdr:to>
      <xdr:col>26</xdr:col>
      <xdr:colOff>165724</xdr:colOff>
      <xdr:row>17</xdr:row>
      <xdr:rowOff>97484</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29352434" y="4289295"/>
          <a:ext cx="3840871" cy="123804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rtl="1"/>
          <a:r>
            <a:rPr lang="fa-IR" sz="1100">
              <a:latin typeface="IRANSans(FaNum)" panose="02040503050201020203" pitchFamily="18" charset="-78"/>
              <a:cs typeface="IRANSans(FaNum)" panose="02040503050201020203" pitchFamily="18" charset="-78"/>
            </a:rPr>
            <a:t>فرض گرفته شده است که بدهی شرکت در مورد تفت</a:t>
          </a:r>
          <a:r>
            <a:rPr lang="fa-IR" sz="1100" baseline="0">
              <a:latin typeface="IRANSans(FaNum)" panose="02040503050201020203" pitchFamily="18" charset="-78"/>
              <a:cs typeface="IRANSans(FaNum)" panose="02040503050201020203" pitchFamily="18" charset="-78"/>
            </a:rPr>
            <a:t> کش ها در سال 1400 تسویه شود (مندرج در بدهی به شرکت ملی نفت کش) و همینطور به صورت محافظه کارانه، شرکت در محل تعدیل خوراک و هزینه ها، درآمدی شناسایی نکند.</a:t>
          </a:r>
          <a:endParaRPr lang="fa-IR" sz="1100">
            <a:latin typeface="IRANSans(FaNum)" panose="02040503050201020203" pitchFamily="18" charset="-78"/>
            <a:cs typeface="IRANSans(FaNum)" panose="02040503050201020203" pitchFamily="18" charset="-78"/>
          </a:endParaRPr>
        </a:p>
      </xdr:txBody>
    </xdr:sp>
    <xdr:clientData/>
  </xdr:twoCellAnchor>
  <xdr:twoCellAnchor editAs="oneCell">
    <xdr:from>
      <xdr:col>24</xdr:col>
      <xdr:colOff>501846</xdr:colOff>
      <xdr:row>32</xdr:row>
      <xdr:rowOff>161718</xdr:rowOff>
    </xdr:from>
    <xdr:to>
      <xdr:col>32</xdr:col>
      <xdr:colOff>152275</xdr:colOff>
      <xdr:row>45</xdr:row>
      <xdr:rowOff>214487</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a:stretch>
          <a:fillRect/>
        </a:stretch>
      </xdr:blipFill>
      <xdr:spPr>
        <a:xfrm>
          <a:off x="29427366" y="6973998"/>
          <a:ext cx="4923469" cy="2316929"/>
        </a:xfrm>
        <a:prstGeom prst="rect">
          <a:avLst/>
        </a:prstGeom>
      </xdr:spPr>
    </xdr:pic>
    <xdr:clientData/>
  </xdr:twoCellAnchor>
  <xdr:twoCellAnchor editAs="oneCell">
    <xdr:from>
      <xdr:col>24</xdr:col>
      <xdr:colOff>518921</xdr:colOff>
      <xdr:row>23</xdr:row>
      <xdr:rowOff>89522</xdr:rowOff>
    </xdr:from>
    <xdr:to>
      <xdr:col>32</xdr:col>
      <xdr:colOff>140515</xdr:colOff>
      <xdr:row>34</xdr:row>
      <xdr:rowOff>101903</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3"/>
        <a:stretch>
          <a:fillRect/>
        </a:stretch>
      </xdr:blipFill>
      <xdr:spPr>
        <a:xfrm>
          <a:off x="29444441" y="4928222"/>
          <a:ext cx="4894634" cy="208149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607325</xdr:colOff>
      <xdr:row>4</xdr:row>
      <xdr:rowOff>47768</xdr:rowOff>
    </xdr:from>
    <xdr:to>
      <xdr:col>9</xdr:col>
      <xdr:colOff>150124</xdr:colOff>
      <xdr:row>22</xdr:row>
      <xdr:rowOff>27296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7619</xdr:colOff>
      <xdr:row>2</xdr:row>
      <xdr:rowOff>175260</xdr:rowOff>
    </xdr:from>
    <xdr:to>
      <xdr:col>15</xdr:col>
      <xdr:colOff>292451</xdr:colOff>
      <xdr:row>22</xdr:row>
      <xdr:rowOff>9748</xdr:rowOff>
    </xdr:to>
    <xdr:graphicFrame macro="">
      <xdr:nvGraphicFramePr>
        <xdr:cNvPr id="6" name="Chart 5">
          <a:extLst>
            <a:ext uri="{FF2B5EF4-FFF2-40B4-BE49-F238E27FC236}">
              <a16:creationId xmlns:a16="http://schemas.microsoft.com/office/drawing/2014/main" id="{F9082504-3BFB-41C0-9598-3033F188F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266700</xdr:colOff>
      <xdr:row>24</xdr:row>
      <xdr:rowOff>152400</xdr:rowOff>
    </xdr:from>
    <xdr:to>
      <xdr:col>11</xdr:col>
      <xdr:colOff>571500</xdr:colOff>
      <xdr:row>26</xdr:row>
      <xdr:rowOff>175260</xdr:rowOff>
    </xdr:to>
    <mc:AlternateContent xmlns:mc="http://schemas.openxmlformats.org/markup-compatibility/2006" xmlns:a14="http://schemas.microsoft.com/office/drawing/2010/main">
      <mc:Choice Requires="a14">
        <xdr:sp macro="" textlink="">
          <xdr:nvSpPr>
            <xdr:cNvPr id="2" name="Rectangle: Rounded Corners 1">
              <a:extLst>
                <a:ext uri="{FF2B5EF4-FFF2-40B4-BE49-F238E27FC236}">
                  <a16:creationId xmlns:a16="http://schemas.microsoft.com/office/drawing/2014/main" id="{5720C180-46B3-4673-A749-171504370CAF}"/>
                </a:ext>
              </a:extLst>
            </xdr:cNvPr>
            <xdr:cNvSpPr/>
          </xdr:nvSpPr>
          <xdr:spPr>
            <a:xfrm>
              <a:off x="4305300" y="4541520"/>
              <a:ext cx="3352800" cy="38862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1"/>
              <a14:m>
                <m:oMathPara xmlns:m="http://schemas.openxmlformats.org/officeDocument/2006/math">
                  <m:oMathParaPr>
                    <m:jc m:val="centerGroup"/>
                  </m:oMathParaPr>
                  <m:oMath xmlns:m="http://schemas.openxmlformats.org/officeDocument/2006/math">
                    <m:r>
                      <a:rPr lang="fa-IR" sz="1100" b="0" i="1">
                        <a:solidFill>
                          <a:sysClr val="windowText" lastClr="000000"/>
                        </a:solidFill>
                        <a:latin typeface="Cambria Math" panose="02040503050406030204" pitchFamily="18" charset="0"/>
                      </a:rPr>
                      <m:t>آمریکا</m:t>
                    </m:r>
                    <m:r>
                      <a:rPr lang="fa-IR" sz="1100" b="0" i="1">
                        <a:solidFill>
                          <a:sysClr val="windowText" lastClr="000000"/>
                        </a:solidFill>
                        <a:latin typeface="Cambria Math" panose="02040503050406030204" pitchFamily="18" charset="0"/>
                      </a:rPr>
                      <m:t> </m:t>
                    </m:r>
                    <m:r>
                      <a:rPr lang="fa-IR" sz="1100" b="0" i="1">
                        <a:solidFill>
                          <a:sysClr val="windowText" lastClr="000000"/>
                        </a:solidFill>
                        <a:latin typeface="Cambria Math" panose="02040503050406030204" pitchFamily="18" charset="0"/>
                      </a:rPr>
                      <m:t>گاز</m:t>
                    </m:r>
                    <m:r>
                      <a:rPr lang="fa-IR" sz="1100" b="0" i="1">
                        <a:solidFill>
                          <a:sysClr val="windowText" lastClr="000000"/>
                        </a:solidFill>
                        <a:latin typeface="Cambria Math" panose="02040503050406030204" pitchFamily="18" charset="0"/>
                      </a:rPr>
                      <m:t> </m:t>
                    </m:r>
                    <m:r>
                      <a:rPr lang="fa-IR" sz="1100" b="0" i="1">
                        <a:solidFill>
                          <a:sysClr val="windowText" lastClr="000000"/>
                        </a:solidFill>
                        <a:latin typeface="Cambria Math" panose="02040503050406030204" pitchFamily="18" charset="0"/>
                      </a:rPr>
                      <m:t>نفت</m:t>
                    </m:r>
                    <m:r>
                      <a:rPr lang="fa-IR" sz="1100" b="0" i="1">
                        <a:solidFill>
                          <a:sysClr val="windowText" lastClr="000000"/>
                        </a:solidFill>
                        <a:latin typeface="Cambria Math" panose="02040503050406030204" pitchFamily="18" charset="0"/>
                      </a:rPr>
                      <m:t>=</m:t>
                    </m:r>
                    <m:r>
                      <a:rPr lang="fa-IR" sz="1100" b="0" i="1">
                        <a:solidFill>
                          <a:sysClr val="windowText" lastClr="000000"/>
                        </a:solidFill>
                        <a:latin typeface="Cambria Math" panose="02040503050406030204" pitchFamily="18" charset="0"/>
                      </a:rPr>
                      <m:t>1</m:t>
                    </m:r>
                    <m:r>
                      <a:rPr lang="fa-IR" sz="1100" b="0" i="1">
                        <a:solidFill>
                          <a:sysClr val="windowText" lastClr="000000"/>
                        </a:solidFill>
                        <a:latin typeface="Cambria Math" panose="02040503050406030204" pitchFamily="18" charset="0"/>
                      </a:rPr>
                      <m:t>.</m:t>
                    </m:r>
                    <m:r>
                      <a:rPr lang="fa-IR" sz="1100" b="0" i="1">
                        <a:solidFill>
                          <a:sysClr val="windowText" lastClr="000000"/>
                        </a:solidFill>
                        <a:latin typeface="Cambria Math" panose="02040503050406030204" pitchFamily="18" charset="0"/>
                      </a:rPr>
                      <m:t>0785</m:t>
                    </m:r>
                    <m:r>
                      <a:rPr lang="fa-IR" sz="1100" b="0" i="1">
                        <a:solidFill>
                          <a:sysClr val="windowText" lastClr="000000"/>
                        </a:solidFill>
                        <a:latin typeface="Cambria Math" panose="02040503050406030204" pitchFamily="18" charset="0"/>
                      </a:rPr>
                      <m:t> </m:t>
                    </m:r>
                    <m:r>
                      <a:rPr lang="fa-IR" sz="1100" b="0" i="1">
                        <a:solidFill>
                          <a:sysClr val="windowText" lastClr="000000"/>
                        </a:solidFill>
                        <a:latin typeface="Cambria Math" panose="02040503050406030204" pitchFamily="18" charset="0"/>
                      </a:rPr>
                      <m:t>برنت</m:t>
                    </m:r>
                    <m:r>
                      <a:rPr lang="fa-IR" sz="1100" b="0" i="1">
                        <a:solidFill>
                          <a:sysClr val="windowText" lastClr="000000"/>
                        </a:solidFill>
                        <a:latin typeface="Cambria Math" panose="02040503050406030204" pitchFamily="18" charset="0"/>
                      </a:rPr>
                      <m:t>+</m:t>
                    </m:r>
                    <m:r>
                      <a:rPr lang="fa-IR" sz="1100" b="0" i="1">
                        <a:solidFill>
                          <a:sysClr val="windowText" lastClr="000000"/>
                        </a:solidFill>
                        <a:latin typeface="Cambria Math" panose="02040503050406030204" pitchFamily="18" charset="0"/>
                      </a:rPr>
                      <m:t>8</m:t>
                    </m:r>
                    <m:r>
                      <a:rPr lang="fa-IR" sz="1100" b="0" i="1">
                        <a:solidFill>
                          <a:sysClr val="windowText" lastClr="000000"/>
                        </a:solidFill>
                        <a:latin typeface="Cambria Math" panose="02040503050406030204" pitchFamily="18" charset="0"/>
                      </a:rPr>
                      <m:t>.</m:t>
                    </m:r>
                    <m:r>
                      <a:rPr lang="fa-IR" sz="1100" b="0" i="1">
                        <a:solidFill>
                          <a:sysClr val="windowText" lastClr="000000"/>
                        </a:solidFill>
                        <a:latin typeface="Cambria Math" panose="02040503050406030204" pitchFamily="18" charset="0"/>
                      </a:rPr>
                      <m:t>5306</m:t>
                    </m:r>
                  </m:oMath>
                </m:oMathPara>
              </a14:m>
              <a:endParaRPr lang="en-US" sz="1100">
                <a:solidFill>
                  <a:sysClr val="windowText" lastClr="000000"/>
                </a:solidFill>
              </a:endParaRPr>
            </a:p>
          </xdr:txBody>
        </xdr:sp>
      </mc:Choice>
      <mc:Fallback xmlns="">
        <xdr:sp macro="" textlink="">
          <xdr:nvSpPr>
            <xdr:cNvPr id="2" name="Rectangle: Rounded Corners 1">
              <a:extLst>
                <a:ext uri="{FF2B5EF4-FFF2-40B4-BE49-F238E27FC236}">
                  <a16:creationId xmlns:a16="http://schemas.microsoft.com/office/drawing/2014/main" id="{5720C180-46B3-4673-A749-171504370CAF}"/>
                </a:ext>
              </a:extLst>
            </xdr:cNvPr>
            <xdr:cNvSpPr/>
          </xdr:nvSpPr>
          <xdr:spPr>
            <a:xfrm>
              <a:off x="4305300" y="4541520"/>
              <a:ext cx="3352800" cy="38862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1"/>
              <a:r>
                <a:rPr lang="fa-IR" sz="1100" b="0" i="0">
                  <a:solidFill>
                    <a:sysClr val="windowText" lastClr="000000"/>
                  </a:solidFill>
                  <a:latin typeface="Cambria Math" panose="02040503050406030204" pitchFamily="18" charset="0"/>
                </a:rPr>
                <a:t>آمریکا گاز نفت=1.0785 برنت+8.5306</a:t>
              </a:r>
              <a:endParaRPr lang="en-US" sz="1100">
                <a:solidFill>
                  <a:sysClr val="windowText" lastClr="000000"/>
                </a:solidFill>
              </a:endParaRP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1363980</xdr:colOff>
      <xdr:row>3</xdr:row>
      <xdr:rowOff>45720</xdr:rowOff>
    </xdr:to>
    <xdr:sp macro="" textlink="">
      <xdr:nvSpPr>
        <xdr:cNvPr id="2" name="Rectangle: Rounded Corners 1">
          <a:extLst>
            <a:ext uri="{FF2B5EF4-FFF2-40B4-BE49-F238E27FC236}">
              <a16:creationId xmlns:a16="http://schemas.microsoft.com/office/drawing/2014/main" id="{29DCF12D-A429-4905-A139-FFD647BEA9D6}"/>
            </a:ext>
          </a:extLst>
        </xdr:cNvPr>
        <xdr:cNvSpPr/>
      </xdr:nvSpPr>
      <xdr:spPr>
        <a:xfrm>
          <a:off x="1219200" y="426720"/>
          <a:ext cx="1363980" cy="25908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rtl="1"/>
          <a:r>
            <a:rPr lang="fa-IR" sz="1100">
              <a:cs typeface="B Nazanin" panose="00000400000000000000" pitchFamily="2" charset="-78"/>
            </a:rPr>
            <a:t>ارقام</a:t>
          </a:r>
          <a:r>
            <a:rPr lang="fa-IR" sz="1100" baseline="0">
              <a:cs typeface="B Nazanin" panose="00000400000000000000" pitchFamily="2" charset="-78"/>
            </a:rPr>
            <a:t> به هزار میلیارد تومان</a:t>
          </a:r>
          <a:endParaRPr lang="en-US" sz="1100">
            <a:cs typeface="B Nazanin" panose="00000400000000000000" pitchFamily="2" charset="-7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365760</xdr:colOff>
      <xdr:row>15</xdr:row>
      <xdr:rowOff>15240</xdr:rowOff>
    </xdr:from>
    <xdr:to>
      <xdr:col>11</xdr:col>
      <xdr:colOff>510540</xdr:colOff>
      <xdr:row>21</xdr:row>
      <xdr:rowOff>53340</xdr:rowOff>
    </xdr:to>
    <mc:AlternateContent xmlns:mc="http://schemas.openxmlformats.org/markup-compatibility/2006" xmlns:a14="http://schemas.microsoft.com/office/drawing/2010/main">
      <mc:Choice Requires="a14">
        <xdr:sp macro="" textlink="">
          <xdr:nvSpPr>
            <xdr:cNvPr id="2" name="Rectangle: Rounded Corners 1">
              <a:extLst>
                <a:ext uri="{FF2B5EF4-FFF2-40B4-BE49-F238E27FC236}">
                  <a16:creationId xmlns:a16="http://schemas.microsoft.com/office/drawing/2014/main" id="{FBF20BC9-41AD-4922-B4FD-2C8DECB1667A}"/>
                </a:ext>
              </a:extLst>
            </xdr:cNvPr>
            <xdr:cNvSpPr/>
          </xdr:nvSpPr>
          <xdr:spPr>
            <a:xfrm>
              <a:off x="2872740" y="3215640"/>
              <a:ext cx="5219700" cy="13182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m:r>
                      <a:rPr lang="en-US" sz="1100" b="0" i="1">
                        <a:solidFill>
                          <a:sysClr val="windowText" lastClr="000000"/>
                        </a:solidFill>
                        <a:latin typeface="Cambria Math" panose="02040503050406030204" pitchFamily="18" charset="0"/>
                      </a:rPr>
                      <m:t>𝑃𝑟𝑖𝑐𝑒</m:t>
                    </m:r>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1400</m:t>
                            </m:r>
                          </m:sub>
                        </m:sSub>
                      </m:num>
                      <m:den>
                        <m:r>
                          <a:rPr lang="en-US" sz="1100" b="0" i="1">
                            <a:solidFill>
                              <a:sysClr val="windowText" lastClr="000000"/>
                            </a:solidFill>
                            <a:latin typeface="Cambria Math" panose="02040503050406030204" pitchFamily="18" charset="0"/>
                          </a:rPr>
                          <m:t>1</m:t>
                        </m:r>
                        <m:r>
                          <a:rPr lang="en-US" sz="1100" b="0" i="1">
                            <a:solidFill>
                              <a:sysClr val="windowText" lastClr="000000"/>
                            </a:solidFill>
                            <a:latin typeface="Cambria Math" panose="02040503050406030204" pitchFamily="18" charset="0"/>
                          </a:rPr>
                          <m:t>+</m:t>
                        </m:r>
                        <m:r>
                          <a:rPr lang="en-US" sz="1100" b="0" i="1">
                            <a:solidFill>
                              <a:sysClr val="windowText" lastClr="000000"/>
                            </a:solidFill>
                            <a:latin typeface="Cambria Math" panose="02040503050406030204" pitchFamily="18" charset="0"/>
                          </a:rPr>
                          <m:t>𝑟</m:t>
                        </m:r>
                      </m:den>
                    </m:f>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1401</m:t>
                            </m:r>
                          </m:sub>
                        </m:sSub>
                      </m:num>
                      <m:den>
                        <m:sSup>
                          <m:sSupPr>
                            <m:ctrlPr>
                              <a:rPr lang="en-US" sz="1100" b="0" i="1">
                                <a:solidFill>
                                  <a:sysClr val="windowText" lastClr="000000"/>
                                </a:solidFill>
                                <a:latin typeface="Cambria Math" panose="02040503050406030204" pitchFamily="18" charset="0"/>
                              </a:rPr>
                            </m:ctrlPr>
                          </m:sSupPr>
                          <m:e>
                            <m:d>
                              <m:dPr>
                                <m:ctrlPr>
                                  <a:rPr lang="en-US" sz="1100" b="0" i="1">
                                    <a:solidFill>
                                      <a:sysClr val="windowText" lastClr="000000"/>
                                    </a:solidFill>
                                    <a:latin typeface="Cambria Math" panose="02040503050406030204" pitchFamily="18" charset="0"/>
                                  </a:rPr>
                                </m:ctrlPr>
                              </m:dPr>
                              <m:e>
                                <m:r>
                                  <a:rPr lang="en-US" sz="1100" b="0" i="1">
                                    <a:solidFill>
                                      <a:sysClr val="windowText" lastClr="000000"/>
                                    </a:solidFill>
                                    <a:latin typeface="Cambria Math" panose="02040503050406030204" pitchFamily="18" charset="0"/>
                                  </a:rPr>
                                  <m:t>1</m:t>
                                </m:r>
                                <m:r>
                                  <a:rPr lang="en-US" sz="1100" b="0" i="1">
                                    <a:solidFill>
                                      <a:sysClr val="windowText" lastClr="000000"/>
                                    </a:solidFill>
                                    <a:latin typeface="Cambria Math" panose="02040503050406030204" pitchFamily="18" charset="0"/>
                                  </a:rPr>
                                  <m:t>+</m:t>
                                </m:r>
                                <m:r>
                                  <a:rPr lang="en-US" sz="1100" b="0" i="1">
                                    <a:solidFill>
                                      <a:sysClr val="windowText" lastClr="000000"/>
                                    </a:solidFill>
                                    <a:latin typeface="Cambria Math" panose="02040503050406030204" pitchFamily="18" charset="0"/>
                                  </a:rPr>
                                  <m:t>𝑟</m:t>
                                </m:r>
                              </m:e>
                            </m:d>
                          </m:e>
                          <m:sup>
                            <m:r>
                              <a:rPr lang="en-US" sz="1100" b="0" i="1">
                                <a:solidFill>
                                  <a:sysClr val="windowText" lastClr="000000"/>
                                </a:solidFill>
                                <a:latin typeface="Cambria Math" panose="02040503050406030204" pitchFamily="18" charset="0"/>
                              </a:rPr>
                              <m:t>2</m:t>
                            </m:r>
                          </m:sup>
                        </m:sSup>
                      </m:den>
                    </m:f>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1402</m:t>
                            </m:r>
                          </m:sub>
                        </m:sSub>
                      </m:num>
                      <m:den>
                        <m:sSup>
                          <m:sSupPr>
                            <m:ctrlPr>
                              <a:rPr lang="en-US" sz="1100" b="0" i="1">
                                <a:solidFill>
                                  <a:sysClr val="windowText" lastClr="000000"/>
                                </a:solidFill>
                                <a:latin typeface="Cambria Math" panose="02040503050406030204" pitchFamily="18" charset="0"/>
                              </a:rPr>
                            </m:ctrlPr>
                          </m:sSupPr>
                          <m:e>
                            <m:d>
                              <m:dPr>
                                <m:ctrlPr>
                                  <a:rPr lang="en-US" sz="1100" b="0" i="1">
                                    <a:solidFill>
                                      <a:sysClr val="windowText" lastClr="000000"/>
                                    </a:solidFill>
                                    <a:latin typeface="Cambria Math" panose="02040503050406030204" pitchFamily="18" charset="0"/>
                                  </a:rPr>
                                </m:ctrlPr>
                              </m:dPr>
                              <m:e>
                                <m:r>
                                  <a:rPr lang="en-US" sz="1100" b="0" i="1">
                                    <a:solidFill>
                                      <a:sysClr val="windowText" lastClr="000000"/>
                                    </a:solidFill>
                                    <a:latin typeface="Cambria Math" panose="02040503050406030204" pitchFamily="18" charset="0"/>
                                  </a:rPr>
                                  <m:t>1</m:t>
                                </m:r>
                                <m:r>
                                  <a:rPr lang="en-US" sz="1100" b="0" i="1">
                                    <a:solidFill>
                                      <a:sysClr val="windowText" lastClr="000000"/>
                                    </a:solidFill>
                                    <a:latin typeface="Cambria Math" panose="02040503050406030204" pitchFamily="18" charset="0"/>
                                  </a:rPr>
                                  <m:t>+</m:t>
                                </m:r>
                                <m:r>
                                  <a:rPr lang="en-US" sz="1100" b="0" i="1">
                                    <a:solidFill>
                                      <a:sysClr val="windowText" lastClr="000000"/>
                                    </a:solidFill>
                                    <a:latin typeface="Cambria Math" panose="02040503050406030204" pitchFamily="18" charset="0"/>
                                  </a:rPr>
                                  <m:t>𝑟</m:t>
                                </m:r>
                              </m:e>
                            </m:d>
                          </m:e>
                          <m:sup>
                            <m:r>
                              <a:rPr lang="en-US" sz="1100" b="0" i="1">
                                <a:solidFill>
                                  <a:sysClr val="windowText" lastClr="000000"/>
                                </a:solidFill>
                                <a:latin typeface="Cambria Math" panose="02040503050406030204" pitchFamily="18" charset="0"/>
                              </a:rPr>
                              <m:t>3</m:t>
                            </m:r>
                          </m:sup>
                        </m:sSup>
                      </m:den>
                    </m:f>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1403</m:t>
                            </m:r>
                          </m:sub>
                        </m:sSub>
                      </m:num>
                      <m:den>
                        <m:sSup>
                          <m:sSupPr>
                            <m:ctrlPr>
                              <a:rPr lang="en-US" sz="1100" b="0" i="1">
                                <a:solidFill>
                                  <a:sysClr val="windowText" lastClr="000000"/>
                                </a:solidFill>
                                <a:latin typeface="Cambria Math" panose="02040503050406030204" pitchFamily="18" charset="0"/>
                              </a:rPr>
                            </m:ctrlPr>
                          </m:sSupPr>
                          <m:e>
                            <m:d>
                              <m:dPr>
                                <m:ctrlPr>
                                  <a:rPr lang="en-US" sz="1100" b="0" i="1">
                                    <a:solidFill>
                                      <a:sysClr val="windowText" lastClr="000000"/>
                                    </a:solidFill>
                                    <a:latin typeface="Cambria Math" panose="02040503050406030204" pitchFamily="18" charset="0"/>
                                  </a:rPr>
                                </m:ctrlPr>
                              </m:dPr>
                              <m:e>
                                <m:r>
                                  <a:rPr lang="en-US" sz="1100" b="0" i="1">
                                    <a:solidFill>
                                      <a:sysClr val="windowText" lastClr="000000"/>
                                    </a:solidFill>
                                    <a:latin typeface="Cambria Math" panose="02040503050406030204" pitchFamily="18" charset="0"/>
                                  </a:rPr>
                                  <m:t>1</m:t>
                                </m:r>
                                <m:r>
                                  <a:rPr lang="en-US" sz="1100" b="0" i="1">
                                    <a:solidFill>
                                      <a:sysClr val="windowText" lastClr="000000"/>
                                    </a:solidFill>
                                    <a:latin typeface="Cambria Math" panose="02040503050406030204" pitchFamily="18" charset="0"/>
                                  </a:rPr>
                                  <m:t>+</m:t>
                                </m:r>
                                <m:r>
                                  <a:rPr lang="en-US" sz="1100" b="0" i="1">
                                    <a:solidFill>
                                      <a:sysClr val="windowText" lastClr="000000"/>
                                    </a:solidFill>
                                    <a:latin typeface="Cambria Math" panose="02040503050406030204" pitchFamily="18" charset="0"/>
                                  </a:rPr>
                                  <m:t>𝑟</m:t>
                                </m:r>
                              </m:e>
                            </m:d>
                          </m:e>
                          <m:sup>
                            <m:r>
                              <a:rPr lang="en-US" sz="1100" b="0" i="1">
                                <a:solidFill>
                                  <a:sysClr val="windowText" lastClr="000000"/>
                                </a:solidFill>
                                <a:latin typeface="Cambria Math" panose="02040503050406030204" pitchFamily="18" charset="0"/>
                              </a:rPr>
                              <m:t>4</m:t>
                            </m:r>
                          </m:sup>
                        </m:sSup>
                      </m:den>
                    </m:f>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1404</m:t>
                            </m:r>
                          </m:sub>
                        </m:sSub>
                        <m:r>
                          <a:rPr lang="en-US" sz="1100" b="0" i="1">
                            <a:solidFill>
                              <a:sysClr val="windowText" lastClr="000000"/>
                            </a:solidFill>
                            <a:latin typeface="Cambria Math" panose="02040503050406030204" pitchFamily="18" charset="0"/>
                          </a:rPr>
                          <m:t>+</m:t>
                        </m:r>
                        <m:r>
                          <a:rPr lang="en-US" sz="1100" b="0" i="1">
                            <a:solidFill>
                              <a:sysClr val="windowText" lastClr="000000"/>
                            </a:solidFill>
                            <a:effectLst/>
                            <a:latin typeface="Cambria Math" panose="02040503050406030204" pitchFamily="18" charset="0"/>
                            <a:ea typeface="+mn-ea"/>
                            <a:cs typeface="+mn-cs"/>
                          </a:rPr>
                          <m:t>𝑇𝑒𝑟𝑚𝑖𝑛𝑎𝑙</m:t>
                        </m:r>
                        <m:r>
                          <a:rPr lang="en-US" sz="1100" b="0" i="1">
                            <a:solidFill>
                              <a:sysClr val="windowText" lastClr="000000"/>
                            </a:solidFill>
                            <a:effectLst/>
                            <a:latin typeface="Cambria Math" panose="02040503050406030204" pitchFamily="18" charset="0"/>
                            <a:ea typeface="+mn-ea"/>
                            <a:cs typeface="+mn-cs"/>
                          </a:rPr>
                          <m:t> </m:t>
                        </m:r>
                        <m:r>
                          <a:rPr lang="en-US" sz="1100" b="0" i="1">
                            <a:solidFill>
                              <a:sysClr val="windowText" lastClr="000000"/>
                            </a:solidFill>
                            <a:effectLst/>
                            <a:latin typeface="Cambria Math" panose="02040503050406030204" pitchFamily="18" charset="0"/>
                            <a:ea typeface="+mn-ea"/>
                            <a:cs typeface="+mn-cs"/>
                          </a:rPr>
                          <m:t>𝑉𝑎𝑙𝑢𝑒</m:t>
                        </m:r>
                      </m:num>
                      <m:den>
                        <m:sSup>
                          <m:sSupPr>
                            <m:ctrlPr>
                              <a:rPr lang="en-US" sz="1100" b="0" i="1">
                                <a:solidFill>
                                  <a:sysClr val="windowText" lastClr="000000"/>
                                </a:solidFill>
                                <a:latin typeface="Cambria Math" panose="02040503050406030204" pitchFamily="18" charset="0"/>
                              </a:rPr>
                            </m:ctrlPr>
                          </m:sSupPr>
                          <m:e>
                            <m:d>
                              <m:dPr>
                                <m:ctrlPr>
                                  <a:rPr lang="en-US" sz="1100" b="0" i="1">
                                    <a:solidFill>
                                      <a:sysClr val="windowText" lastClr="000000"/>
                                    </a:solidFill>
                                    <a:latin typeface="Cambria Math" panose="02040503050406030204" pitchFamily="18" charset="0"/>
                                  </a:rPr>
                                </m:ctrlPr>
                              </m:dPr>
                              <m:e>
                                <m:r>
                                  <a:rPr lang="en-US" sz="1100" b="0" i="1">
                                    <a:solidFill>
                                      <a:sysClr val="windowText" lastClr="000000"/>
                                    </a:solidFill>
                                    <a:latin typeface="Cambria Math" panose="02040503050406030204" pitchFamily="18" charset="0"/>
                                  </a:rPr>
                                  <m:t>1</m:t>
                                </m:r>
                                <m:r>
                                  <a:rPr lang="en-US" sz="1100" b="0" i="1">
                                    <a:solidFill>
                                      <a:sysClr val="windowText" lastClr="000000"/>
                                    </a:solidFill>
                                    <a:latin typeface="Cambria Math" panose="02040503050406030204" pitchFamily="18" charset="0"/>
                                  </a:rPr>
                                  <m:t>+</m:t>
                                </m:r>
                                <m:r>
                                  <a:rPr lang="en-US" sz="1100" b="0" i="1">
                                    <a:solidFill>
                                      <a:sysClr val="windowText" lastClr="000000"/>
                                    </a:solidFill>
                                    <a:latin typeface="Cambria Math" panose="02040503050406030204" pitchFamily="18" charset="0"/>
                                  </a:rPr>
                                  <m:t>𝑟</m:t>
                                </m:r>
                              </m:e>
                            </m:d>
                          </m:e>
                          <m:sup>
                            <m:r>
                              <a:rPr lang="en-US" sz="1100" b="0" i="1">
                                <a:solidFill>
                                  <a:sysClr val="windowText" lastClr="000000"/>
                                </a:solidFill>
                                <a:latin typeface="Cambria Math" panose="02040503050406030204" pitchFamily="18" charset="0"/>
                              </a:rPr>
                              <m:t>5</m:t>
                            </m:r>
                          </m:sup>
                        </m:sSup>
                      </m:den>
                    </m:f>
                  </m:oMath>
                </m:oMathPara>
              </a14:m>
              <a:endParaRPr lang="en-US" sz="1100" b="0">
                <a:solidFill>
                  <a:sysClr val="windowText" lastClr="000000"/>
                </a:solidFill>
              </a:endParaRPr>
            </a:p>
            <a:p>
              <a:pPr algn="l"/>
              <a:endParaRPr lang="en-US" sz="1100" b="0">
                <a:solidFill>
                  <a:sysClr val="windowText" lastClr="000000"/>
                </a:solidFill>
              </a:endParaRPr>
            </a:p>
            <a:p>
              <a:pPr algn="l"/>
              <a:endParaRPr lang="en-US" sz="1100" b="0">
                <a:solidFill>
                  <a:sysClr val="windowText" lastClr="000000"/>
                </a:solidFill>
              </a:endParaRPr>
            </a:p>
            <a:p>
              <a:pPr algn="l"/>
              <a14:m>
                <m:oMathPara xmlns:m="http://schemas.openxmlformats.org/officeDocument/2006/math">
                  <m:oMathParaPr>
                    <m:jc m:val="centerGroup"/>
                  </m:oMathParaPr>
                  <m:oMath xmlns:m="http://schemas.openxmlformats.org/officeDocument/2006/math">
                    <m:r>
                      <a:rPr lang="en-US" sz="1100" b="0" i="1">
                        <a:solidFill>
                          <a:sysClr val="windowText" lastClr="000000"/>
                        </a:solidFill>
                        <a:latin typeface="Cambria Math" panose="02040503050406030204" pitchFamily="18" charset="0"/>
                      </a:rPr>
                      <m:t>𝑇𝑒𝑟𝑚𝑖𝑛𝑎𝑙</m:t>
                    </m:r>
                    <m:r>
                      <a:rPr lang="en-US" sz="1100" b="0" i="1">
                        <a:solidFill>
                          <a:sysClr val="windowText" lastClr="000000"/>
                        </a:solidFill>
                        <a:latin typeface="Cambria Math" panose="02040503050406030204" pitchFamily="18" charset="0"/>
                      </a:rPr>
                      <m:t> </m:t>
                    </m:r>
                    <m:r>
                      <a:rPr lang="en-US" sz="1100" b="0" i="1">
                        <a:solidFill>
                          <a:sysClr val="windowText" lastClr="000000"/>
                        </a:solidFill>
                        <a:latin typeface="Cambria Math" panose="02040503050406030204" pitchFamily="18" charset="0"/>
                      </a:rPr>
                      <m:t>𝑉𝑎𝑙𝑢𝑒</m:t>
                    </m:r>
                    <m:r>
                      <a:rPr lang="en-US" sz="1100" b="0" i="1">
                        <a:solidFill>
                          <a:sysClr val="windowText" lastClr="000000"/>
                        </a:solidFill>
                        <a:latin typeface="Cambria Math" panose="02040503050406030204" pitchFamily="18" charset="0"/>
                      </a:rPr>
                      <m:t>=</m:t>
                    </m:r>
                    <m:f>
                      <m:fPr>
                        <m:ctrlPr>
                          <a:rPr lang="en-US" sz="1100" b="0" i="1">
                            <a:solidFill>
                              <a:sysClr val="windowText" lastClr="000000"/>
                            </a:solidFill>
                            <a:latin typeface="Cambria Math" panose="02040503050406030204" pitchFamily="18" charset="0"/>
                            <a:ea typeface="Cambria Math" panose="02040503050406030204" pitchFamily="18" charset="0"/>
                          </a:rPr>
                        </m:ctrlPr>
                      </m:fPr>
                      <m:num>
                        <m:r>
                          <a:rPr lang="en-US" sz="1100" b="0" i="1">
                            <a:solidFill>
                              <a:sysClr val="windowText" lastClr="000000"/>
                            </a:solidFill>
                            <a:latin typeface="Cambria Math" panose="02040503050406030204" pitchFamily="18" charset="0"/>
                          </a:rPr>
                          <m:t>𝐷𝑖</m:t>
                        </m:r>
                        <m:sSub>
                          <m:sSubPr>
                            <m:ctrlPr>
                              <a:rPr lang="en-US" sz="1100" b="0" i="1">
                                <a:solidFill>
                                  <a:sysClr val="windowText" lastClr="000000"/>
                                </a:solidFill>
                                <a:latin typeface="Cambria Math" panose="02040503050406030204" pitchFamily="18" charset="0"/>
                              </a:rPr>
                            </m:ctrlPr>
                          </m:sSubPr>
                          <m:e>
                            <m:r>
                              <a:rPr lang="en-US" sz="1100" b="0" i="1">
                                <a:solidFill>
                                  <a:sysClr val="windowText" lastClr="000000"/>
                                </a:solidFill>
                                <a:latin typeface="Cambria Math" panose="02040503050406030204" pitchFamily="18" charset="0"/>
                              </a:rPr>
                              <m:t>𝑣</m:t>
                            </m:r>
                          </m:e>
                          <m:sub>
                            <m:r>
                              <a:rPr lang="en-US" sz="1100" b="0" i="1">
                                <a:solidFill>
                                  <a:sysClr val="windowText" lastClr="000000"/>
                                </a:solidFill>
                                <a:latin typeface="Cambria Math" panose="02040503050406030204" pitchFamily="18" charset="0"/>
                              </a:rPr>
                              <m:t>1404</m:t>
                            </m:r>
                          </m:sub>
                        </m:sSub>
                        <m:r>
                          <a:rPr lang="en-US" sz="1100" b="0" i="1">
                            <a:solidFill>
                              <a:sysClr val="windowText" lastClr="000000"/>
                            </a:solidFill>
                            <a:latin typeface="Cambria Math" panose="02040503050406030204" pitchFamily="18" charset="0"/>
                            <a:ea typeface="Cambria Math" panose="02040503050406030204" pitchFamily="18" charset="0"/>
                          </a:rPr>
                          <m:t>×</m:t>
                        </m:r>
                        <m:d>
                          <m:dPr>
                            <m:ctrlPr>
                              <a:rPr lang="en-US" sz="1100" b="0" i="1">
                                <a:solidFill>
                                  <a:sysClr val="windowText" lastClr="000000"/>
                                </a:solidFill>
                                <a:latin typeface="Cambria Math" panose="02040503050406030204" pitchFamily="18" charset="0"/>
                                <a:ea typeface="Cambria Math" panose="02040503050406030204" pitchFamily="18" charset="0"/>
                              </a:rPr>
                            </m:ctrlPr>
                          </m:dPr>
                          <m:e>
                            <m:r>
                              <a:rPr lang="en-US" sz="1100" b="0" i="1">
                                <a:solidFill>
                                  <a:sysClr val="windowText" lastClr="000000"/>
                                </a:solidFill>
                                <a:latin typeface="Cambria Math" panose="02040503050406030204" pitchFamily="18" charset="0"/>
                                <a:ea typeface="Cambria Math" panose="02040503050406030204" pitchFamily="18" charset="0"/>
                              </a:rPr>
                              <m:t>1</m:t>
                            </m:r>
                            <m:r>
                              <a:rPr lang="en-US" sz="1100" b="0" i="1">
                                <a:solidFill>
                                  <a:sysClr val="windowText" lastClr="000000"/>
                                </a:solidFill>
                                <a:latin typeface="Cambria Math" panose="02040503050406030204" pitchFamily="18" charset="0"/>
                                <a:ea typeface="Cambria Math" panose="02040503050406030204" pitchFamily="18" charset="0"/>
                              </a:rPr>
                              <m:t>+</m:t>
                            </m:r>
                            <m:r>
                              <a:rPr lang="en-US" sz="1100" b="0" i="1">
                                <a:solidFill>
                                  <a:sysClr val="windowText" lastClr="000000"/>
                                </a:solidFill>
                                <a:latin typeface="Cambria Math" panose="02040503050406030204" pitchFamily="18" charset="0"/>
                                <a:ea typeface="Cambria Math" panose="02040503050406030204" pitchFamily="18" charset="0"/>
                              </a:rPr>
                              <m:t>𝑔</m:t>
                            </m:r>
                          </m:e>
                        </m:d>
                      </m:num>
                      <m:den>
                        <m:r>
                          <a:rPr lang="en-US" sz="1100" b="0" i="1">
                            <a:solidFill>
                              <a:sysClr val="windowText" lastClr="000000"/>
                            </a:solidFill>
                            <a:latin typeface="Cambria Math" panose="02040503050406030204" pitchFamily="18" charset="0"/>
                            <a:ea typeface="Cambria Math" panose="02040503050406030204" pitchFamily="18" charset="0"/>
                          </a:rPr>
                          <m:t>𝑟</m:t>
                        </m:r>
                        <m:r>
                          <a:rPr lang="en-US" sz="1100" b="0" i="1">
                            <a:solidFill>
                              <a:sysClr val="windowText" lastClr="000000"/>
                            </a:solidFill>
                            <a:latin typeface="Cambria Math" panose="02040503050406030204" pitchFamily="18" charset="0"/>
                            <a:ea typeface="Cambria Math" panose="02040503050406030204" pitchFamily="18" charset="0"/>
                          </a:rPr>
                          <m:t>−</m:t>
                        </m:r>
                        <m:r>
                          <a:rPr lang="en-US" sz="1100" b="0" i="1">
                            <a:solidFill>
                              <a:sysClr val="windowText" lastClr="000000"/>
                            </a:solidFill>
                            <a:latin typeface="Cambria Math" panose="02040503050406030204" pitchFamily="18" charset="0"/>
                            <a:ea typeface="Cambria Math" panose="02040503050406030204" pitchFamily="18" charset="0"/>
                          </a:rPr>
                          <m:t>𝑔</m:t>
                        </m:r>
                      </m:den>
                    </m:f>
                  </m:oMath>
                </m:oMathPara>
              </a14:m>
              <a:endParaRPr lang="en-US" sz="1100" b="0">
                <a:solidFill>
                  <a:sysClr val="windowText" lastClr="000000"/>
                </a:solidFill>
              </a:endParaRPr>
            </a:p>
            <a:p>
              <a:pPr algn="l"/>
              <a:endParaRPr lang="en-US" sz="1100"/>
            </a:p>
          </xdr:txBody>
        </xdr:sp>
      </mc:Choice>
      <mc:Fallback xmlns="">
        <xdr:sp macro="" textlink="">
          <xdr:nvSpPr>
            <xdr:cNvPr id="2" name="Rectangle: Rounded Corners 1">
              <a:extLst>
                <a:ext uri="{FF2B5EF4-FFF2-40B4-BE49-F238E27FC236}">
                  <a16:creationId xmlns:a16="http://schemas.microsoft.com/office/drawing/2014/main" id="{FBF20BC9-41AD-4922-B4FD-2C8DECB1667A}"/>
                </a:ext>
              </a:extLst>
            </xdr:cNvPr>
            <xdr:cNvSpPr/>
          </xdr:nvSpPr>
          <xdr:spPr>
            <a:xfrm>
              <a:off x="2872740" y="3215640"/>
              <a:ext cx="5219700" cy="13182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a:solidFill>
                    <a:sysClr val="windowText" lastClr="000000"/>
                  </a:solidFill>
                  <a:latin typeface="Cambria Math" panose="02040503050406030204" pitchFamily="18" charset="0"/>
                </a:rPr>
                <a:t>𝑃𝑟𝑖𝑐𝑒=(𝐷𝑖𝑣_1400)/(1+𝑟)+(𝐷𝑖𝑣_1401)/(1+𝑟)^2 +(𝐷𝑖𝑣_1402)/(1+𝑟)^3 +(𝐷𝑖𝑣_1403)/(1+𝑟)^4 +(𝐷𝑖𝑣_1404+</a:t>
              </a:r>
              <a:r>
                <a:rPr lang="en-US" sz="1100" b="0" i="0">
                  <a:solidFill>
                    <a:sysClr val="windowText" lastClr="000000"/>
                  </a:solidFill>
                  <a:effectLst/>
                  <a:latin typeface="Cambria Math" panose="02040503050406030204" pitchFamily="18" charset="0"/>
                  <a:ea typeface="+mn-ea"/>
                  <a:cs typeface="+mn-cs"/>
                </a:rPr>
                <a:t>𝑇𝑒𝑟𝑚𝑖𝑛𝑎𝑙 𝑉𝑎𝑙𝑢𝑒)/(</a:t>
              </a:r>
              <a:r>
                <a:rPr lang="en-US" sz="1100" b="0" i="0">
                  <a:solidFill>
                    <a:sysClr val="windowText" lastClr="000000"/>
                  </a:solidFill>
                  <a:latin typeface="Cambria Math" panose="02040503050406030204" pitchFamily="18" charset="0"/>
                </a:rPr>
                <a:t>1+𝑟)^5 </a:t>
              </a:r>
              <a:endParaRPr lang="en-US" sz="1100" b="0">
                <a:solidFill>
                  <a:sysClr val="windowText" lastClr="000000"/>
                </a:solidFill>
              </a:endParaRPr>
            </a:p>
            <a:p>
              <a:pPr algn="l"/>
              <a:endParaRPr lang="en-US" sz="1100" b="0">
                <a:solidFill>
                  <a:sysClr val="windowText" lastClr="000000"/>
                </a:solidFill>
              </a:endParaRPr>
            </a:p>
            <a:p>
              <a:pPr algn="l"/>
              <a:endParaRPr lang="en-US" sz="1100" b="0">
                <a:solidFill>
                  <a:sysClr val="windowText" lastClr="000000"/>
                </a:solidFill>
              </a:endParaRPr>
            </a:p>
            <a:p>
              <a:pPr algn="l"/>
              <a:r>
                <a:rPr lang="en-US" sz="1100" b="0" i="0">
                  <a:solidFill>
                    <a:sysClr val="windowText" lastClr="000000"/>
                  </a:solidFill>
                  <a:latin typeface="Cambria Math" panose="02040503050406030204" pitchFamily="18" charset="0"/>
                </a:rPr>
                <a:t>𝑇𝑒𝑟𝑚𝑖𝑛𝑎𝑙 𝑉𝑎𝑙𝑢𝑒=</a:t>
              </a:r>
              <a:r>
                <a:rPr lang="en-US" sz="1100" b="0" i="0">
                  <a:solidFill>
                    <a:sysClr val="windowText" lastClr="000000"/>
                  </a:solidFill>
                  <a:latin typeface="Cambria Math" panose="02040503050406030204" pitchFamily="18" charset="0"/>
                  <a:ea typeface="Cambria Math" panose="02040503050406030204" pitchFamily="18" charset="0"/>
                </a:rPr>
                <a:t>(</a:t>
              </a:r>
              <a:r>
                <a:rPr lang="en-US" sz="1100" b="0" i="0">
                  <a:solidFill>
                    <a:sysClr val="windowText" lastClr="000000"/>
                  </a:solidFill>
                  <a:latin typeface="Cambria Math" panose="02040503050406030204" pitchFamily="18" charset="0"/>
                </a:rPr>
                <a:t>𝐷𝑖𝑣_1404</a:t>
              </a:r>
              <a:r>
                <a:rPr lang="en-US" sz="1100" b="0" i="0">
                  <a:solidFill>
                    <a:sysClr val="windowText" lastClr="000000"/>
                  </a:solidFill>
                  <a:latin typeface="Cambria Math" panose="02040503050406030204" pitchFamily="18" charset="0"/>
                  <a:ea typeface="Cambria Math" panose="02040503050406030204" pitchFamily="18" charset="0"/>
                </a:rPr>
                <a:t>×(1+𝑔))/(𝑟−𝑔)</a:t>
              </a:r>
              <a:endParaRPr lang="en-US" sz="1100" b="0">
                <a:solidFill>
                  <a:sysClr val="windowText" lastClr="000000"/>
                </a:solidFill>
              </a:endParaRPr>
            </a:p>
            <a:p>
              <a:pPr algn="l"/>
              <a:endParaRPr lang="en-US" sz="1100"/>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167640</xdr:colOff>
      <xdr:row>0</xdr:row>
      <xdr:rowOff>205740</xdr:rowOff>
    </xdr:from>
    <xdr:to>
      <xdr:col>8</xdr:col>
      <xdr:colOff>396240</xdr:colOff>
      <xdr:row>6</xdr:row>
      <xdr:rowOff>160020</xdr:rowOff>
    </xdr:to>
    <xdr:sp macro="" textlink="">
      <xdr:nvSpPr>
        <xdr:cNvPr id="2" name="Rectangle: Rounded Corners 1">
          <a:extLst>
            <a:ext uri="{FF2B5EF4-FFF2-40B4-BE49-F238E27FC236}">
              <a16:creationId xmlns:a16="http://schemas.microsoft.com/office/drawing/2014/main" id="{624938CF-3CE9-4311-A994-57CCBA5AFA23}"/>
            </a:ext>
          </a:extLst>
        </xdr:cNvPr>
        <xdr:cNvSpPr/>
      </xdr:nvSpPr>
      <xdr:spPr>
        <a:xfrm>
          <a:off x="2606040" y="205740"/>
          <a:ext cx="4785360" cy="123444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fa-IR" sz="1100">
              <a:solidFill>
                <a:sysClr val="windowText" lastClr="000000"/>
              </a:solidFill>
              <a:cs typeface="B Nazanin" panose="00000400000000000000" pitchFamily="2" charset="-78"/>
            </a:rPr>
            <a:t>در بین 11 تا</a:t>
          </a:r>
          <a:r>
            <a:rPr lang="fa-IR" sz="1100" baseline="0">
              <a:solidFill>
                <a:sysClr val="windowText" lastClr="000000"/>
              </a:solidFill>
              <a:cs typeface="B Nazanin" panose="00000400000000000000" pitchFamily="2" charset="-78"/>
            </a:rPr>
            <a:t> 14 ژانویه 2022، رویترز یک نظرسنجی درمورد قیمت نفت به بیش از 10000 هزار نفر از افراد مختصص و خبره بازار انرژی ارسال کرد. نتایج این نظرسنجی به صورت مقابل است(خلاصه شده).</a:t>
          </a:r>
        </a:p>
        <a:p>
          <a:pPr algn="r"/>
          <a:endParaRPr lang="fa-IR" sz="1100" baseline="0">
            <a:solidFill>
              <a:sysClr val="windowText" lastClr="000000"/>
            </a:solidFill>
            <a:cs typeface="B Nazanin" panose="00000400000000000000" pitchFamily="2" charset="-78"/>
          </a:endParaRPr>
        </a:p>
        <a:p>
          <a:pPr algn="r"/>
          <a:r>
            <a:rPr lang="en-US" sz="1100">
              <a:solidFill>
                <a:sysClr val="windowText" lastClr="000000"/>
              </a:solidFill>
              <a:cs typeface="B Nazanin" panose="00000400000000000000" pitchFamily="2" charset="-78"/>
            </a:rPr>
            <a:t>https://fingfx.thomsonreuters.com/gfx/ce/znpnelonlvl/OIL%20OUTLOOK%20SURVEY%202022-2026.pdf</a:t>
          </a:r>
        </a:p>
      </xdr:txBody>
    </xdr:sp>
    <xdr:clientData/>
  </xdr:twoCellAnchor>
  <xdr:twoCellAnchor>
    <xdr:from>
      <xdr:col>4</xdr:col>
      <xdr:colOff>198120</xdr:colOff>
      <xdr:row>7</xdr:row>
      <xdr:rowOff>15240</xdr:rowOff>
    </xdr:from>
    <xdr:to>
      <xdr:col>8</xdr:col>
      <xdr:colOff>411480</xdr:colOff>
      <xdr:row>9</xdr:row>
      <xdr:rowOff>167640</xdr:rowOff>
    </xdr:to>
    <xdr:sp macro="" textlink="">
      <xdr:nvSpPr>
        <xdr:cNvPr id="3" name="Rectangle: Rounded Corners 2">
          <a:extLst>
            <a:ext uri="{FF2B5EF4-FFF2-40B4-BE49-F238E27FC236}">
              <a16:creationId xmlns:a16="http://schemas.microsoft.com/office/drawing/2014/main" id="{C9B37391-1314-4429-B415-66CE035394D9}"/>
            </a:ext>
          </a:extLst>
        </xdr:cNvPr>
        <xdr:cNvSpPr/>
      </xdr:nvSpPr>
      <xdr:spPr>
        <a:xfrm>
          <a:off x="2636520" y="1508760"/>
          <a:ext cx="4770120" cy="57912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fa-IR" sz="1100">
              <a:solidFill>
                <a:sysClr val="windowText" lastClr="000000"/>
              </a:solidFill>
              <a:cs typeface="B Nazanin" panose="00000400000000000000" pitchFamily="2" charset="-78"/>
            </a:rPr>
            <a:t>برای</a:t>
          </a:r>
          <a:r>
            <a:rPr lang="fa-IR" sz="1100" baseline="0">
              <a:solidFill>
                <a:sysClr val="windowText" lastClr="000000"/>
              </a:solidFill>
              <a:cs typeface="B Nazanin" panose="00000400000000000000" pitchFamily="2" charset="-78"/>
            </a:rPr>
            <a:t> نفت برنت توزیع نرمال با میانگین سال قبل و انحراف معیار همان سال در نظر گرفته شده است. برای سال 1401 میانگین 82 است.</a:t>
          </a:r>
          <a:endParaRPr lang="en-US" sz="1100">
            <a:solidFill>
              <a:sysClr val="windowText" lastClr="000000"/>
            </a:solidFill>
            <a:cs typeface="B Nazanin" panose="00000400000000000000" pitchFamily="2" charset="-7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487419</xdr:colOff>
      <xdr:row>31</xdr:row>
      <xdr:rowOff>97485</xdr:rowOff>
    </xdr:from>
    <xdr:to>
      <xdr:col>13</xdr:col>
      <xdr:colOff>603978</xdr:colOff>
      <xdr:row>32</xdr:row>
      <xdr:rowOff>183433</xdr:rowOff>
    </xdr:to>
    <xdr:sp macro="" textlink="">
      <xdr:nvSpPr>
        <xdr:cNvPr id="3" name="Arrow: Left 2">
          <a:extLst>
            <a:ext uri="{FF2B5EF4-FFF2-40B4-BE49-F238E27FC236}">
              <a16:creationId xmlns:a16="http://schemas.microsoft.com/office/drawing/2014/main" id="{A123E599-612C-4FBD-BE0C-4F1C3DB4541A}"/>
            </a:ext>
          </a:extLst>
        </xdr:cNvPr>
        <xdr:cNvSpPr/>
      </xdr:nvSpPr>
      <xdr:spPr>
        <a:xfrm>
          <a:off x="17664102" y="6784888"/>
          <a:ext cx="915927" cy="3004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ista\Desktop\&#1575;&#1585;&#1586;&#1588;%20&#1711;&#1584;&#1575;&#1585;&#1740;%20&#1588;&#1576;&#1606;&#1583;&#1585;\&#1575;&#1705;&#1587;&#1604;%20&#1607;&#1575;&#1740;%20&#1570;&#1605;&#1575;&#1583;&#1607;\&#1578;&#1581;&#1604;&#1740;&#1604;%20&#1588;&#1585;&#1705;&#157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ده ساله فروش شبندر"/>
      <sheetName val="نسبت فروش"/>
      <sheetName val="نسبت های مقایسه ای"/>
      <sheetName val="ساختار هزینه"/>
    </sheetNames>
    <sheetDataSet>
      <sheetData sheetId="0"/>
      <sheetData sheetId="1"/>
      <sheetData sheetId="2"/>
      <sheetData sheetId="3">
        <row r="13">
          <cell r="J13">
            <v>1396</v>
          </cell>
          <cell r="K13">
            <v>1397</v>
          </cell>
          <cell r="L13">
            <v>1398</v>
          </cell>
          <cell r="M13">
            <v>1399</v>
          </cell>
        </row>
        <row r="14">
          <cell r="I14" t="str">
            <v>هزینه های مالی</v>
          </cell>
          <cell r="J14">
            <v>7.3597914964998511E-4</v>
          </cell>
          <cell r="K14">
            <v>4.4480280637547822E-4</v>
          </cell>
          <cell r="L14">
            <v>2.7698091039420395E-4</v>
          </cell>
          <cell r="M14">
            <v>5.4984952479494994E-3</v>
          </cell>
        </row>
        <row r="15">
          <cell r="I15" t="str">
            <v>هزینه فروش، اداری و عمومی</v>
          </cell>
          <cell r="J15">
            <v>2.599595995382456E-2</v>
          </cell>
          <cell r="K15">
            <v>9.2685419285218583E-3</v>
          </cell>
          <cell r="L15">
            <v>7.9571389309372013E-3</v>
          </cell>
          <cell r="M15">
            <v>1.3402692508344022E-2</v>
          </cell>
        </row>
        <row r="16">
          <cell r="I16" t="str">
            <v>دستمزد مستقیم</v>
          </cell>
          <cell r="J16">
            <v>1.4172625349307679E-3</v>
          </cell>
          <cell r="K16">
            <v>7.0877301478006465E-4</v>
          </cell>
          <cell r="L16">
            <v>1.0447420699846602E-3</v>
          </cell>
          <cell r="M16">
            <v>1.5607314404062773E-3</v>
          </cell>
        </row>
        <row r="17">
          <cell r="I17" t="str">
            <v>سربار</v>
          </cell>
          <cell r="J17">
            <v>2.0830412027194666E-2</v>
          </cell>
          <cell r="K17">
            <v>1.2522297205147942E-2</v>
          </cell>
          <cell r="L17">
            <v>1.1017898953029031E-2</v>
          </cell>
          <cell r="M17">
            <v>1.3270790164227672E-2</v>
          </cell>
        </row>
        <row r="18">
          <cell r="I18" t="str">
            <v>مالیات بر درآمد</v>
          </cell>
          <cell r="J18">
            <v>1.406802362890798E-2</v>
          </cell>
          <cell r="K18">
            <v>1.8448015958216778E-2</v>
          </cell>
          <cell r="L18">
            <v>8.7140982759126746E-3</v>
          </cell>
          <cell r="M18">
            <v>2.8997394342582174E-2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7"/>
  <sheetViews>
    <sheetView zoomScale="40" zoomScaleNormal="40" workbookViewId="0">
      <selection activeCell="J32" sqref="J25:J32"/>
    </sheetView>
  </sheetViews>
  <sheetFormatPr defaultRowHeight="19.899999999999999" x14ac:dyDescent="0.65"/>
  <cols>
    <col min="1" max="1" width="8.7265625" style="70"/>
    <col min="2" max="2" width="49.08984375" style="70" customWidth="1"/>
    <col min="3" max="3" width="15" style="70" bestFit="1" customWidth="1"/>
    <col min="4" max="4" width="15.08984375" style="70" bestFit="1" customWidth="1"/>
    <col min="5" max="5" width="15" style="70" bestFit="1" customWidth="1"/>
    <col min="6" max="7" width="15.08984375" style="70" bestFit="1" customWidth="1"/>
    <col min="8" max="8" width="16.81640625" style="70" bestFit="1" customWidth="1"/>
    <col min="9" max="9" width="16.81640625" style="70" customWidth="1"/>
    <col min="10" max="10" width="38" style="70" bestFit="1" customWidth="1"/>
    <col min="11" max="11" width="8.54296875" style="70" customWidth="1"/>
    <col min="12" max="12" width="8.81640625" style="70" customWidth="1"/>
    <col min="13" max="13" width="8.90625" style="70" customWidth="1"/>
    <col min="14" max="14" width="8.81640625" style="70" customWidth="1"/>
    <col min="15" max="15" width="8.90625" style="70" customWidth="1"/>
    <col min="16" max="16" width="9.90625" style="70" bestFit="1" customWidth="1"/>
    <col min="17" max="16384" width="8.7265625" style="70"/>
  </cols>
  <sheetData>
    <row r="1" spans="2:16" x14ac:dyDescent="0.65">
      <c r="B1" s="369"/>
      <c r="C1" s="370"/>
      <c r="D1" s="370"/>
      <c r="E1" s="370"/>
      <c r="F1" s="370"/>
      <c r="G1" s="370"/>
      <c r="H1" s="371"/>
    </row>
    <row r="2" spans="2:16" x14ac:dyDescent="0.65">
      <c r="B2" s="372" t="s">
        <v>43</v>
      </c>
      <c r="C2" s="373"/>
      <c r="D2" s="373"/>
      <c r="E2" s="373"/>
      <c r="F2" s="373"/>
      <c r="G2" s="373"/>
      <c r="H2" s="374"/>
    </row>
    <row r="3" spans="2:16" x14ac:dyDescent="0.65">
      <c r="B3" s="375" t="s">
        <v>42</v>
      </c>
      <c r="C3" s="373"/>
      <c r="D3" s="373"/>
      <c r="E3" s="373"/>
      <c r="F3" s="373"/>
      <c r="G3" s="373"/>
      <c r="H3" s="374"/>
    </row>
    <row r="4" spans="2:16" x14ac:dyDescent="0.65">
      <c r="B4" s="375"/>
      <c r="C4" s="373"/>
      <c r="D4" s="373"/>
      <c r="E4" s="373"/>
      <c r="F4" s="373"/>
      <c r="G4" s="373"/>
      <c r="H4" s="374"/>
    </row>
    <row r="5" spans="2:16" x14ac:dyDescent="0.65">
      <c r="B5" s="376" t="s">
        <v>41</v>
      </c>
      <c r="C5" s="377"/>
      <c r="D5" s="377"/>
      <c r="E5" s="377"/>
      <c r="F5" s="377"/>
      <c r="G5" s="377"/>
      <c r="H5" s="378"/>
    </row>
    <row r="6" spans="2:16" x14ac:dyDescent="0.65">
      <c r="B6" s="379" t="s">
        <v>53</v>
      </c>
      <c r="C6" s="377"/>
      <c r="D6" s="377"/>
      <c r="E6" s="377"/>
      <c r="F6" s="377"/>
      <c r="G6" s="377"/>
      <c r="H6" s="378"/>
    </row>
    <row r="7" spans="2:16" x14ac:dyDescent="0.65">
      <c r="B7" s="375"/>
      <c r="C7" s="373"/>
      <c r="D7" s="373"/>
      <c r="E7" s="373"/>
      <c r="F7" s="373"/>
      <c r="G7" s="373"/>
      <c r="H7" s="374"/>
    </row>
    <row r="8" spans="2:16" ht="20.45" thickBot="1" x14ac:dyDescent="0.7">
      <c r="B8" s="322" t="s">
        <v>52</v>
      </c>
      <c r="C8" s="323">
        <v>95</v>
      </c>
      <c r="D8" s="323">
        <v>96</v>
      </c>
      <c r="E8" s="323">
        <v>97</v>
      </c>
      <c r="F8" s="323">
        <v>98</v>
      </c>
      <c r="G8" s="323">
        <v>99</v>
      </c>
      <c r="H8" s="324" t="s">
        <v>656</v>
      </c>
    </row>
    <row r="9" spans="2:16" x14ac:dyDescent="0.65">
      <c r="B9" s="325"/>
      <c r="C9" s="326"/>
      <c r="D9" s="326"/>
      <c r="E9" s="326"/>
      <c r="F9" s="326"/>
      <c r="G9" s="326"/>
      <c r="H9" s="327"/>
      <c r="J9" s="315" t="s">
        <v>803</v>
      </c>
      <c r="K9" s="316">
        <v>95</v>
      </c>
      <c r="L9" s="316">
        <v>96</v>
      </c>
      <c r="M9" s="316">
        <v>97</v>
      </c>
      <c r="N9" s="316">
        <v>98</v>
      </c>
      <c r="O9" s="316">
        <v>99</v>
      </c>
      <c r="P9" s="317" t="s">
        <v>656</v>
      </c>
    </row>
    <row r="10" spans="2:16" x14ac:dyDescent="0.65">
      <c r="B10" s="328" t="s">
        <v>3</v>
      </c>
      <c r="C10" s="329">
        <v>164211304</v>
      </c>
      <c r="D10" s="329">
        <v>222311389</v>
      </c>
      <c r="E10" s="329">
        <v>453226514</v>
      </c>
      <c r="F10" s="329">
        <v>720189020</v>
      </c>
      <c r="G10" s="329">
        <v>894983110</v>
      </c>
      <c r="H10" s="330">
        <v>1326380276</v>
      </c>
      <c r="J10" s="316" t="s">
        <v>3</v>
      </c>
      <c r="K10" s="318">
        <f t="shared" ref="K10:P10" si="0">C10/10^7</f>
        <v>16.421130399999999</v>
      </c>
      <c r="L10" s="318">
        <f t="shared" si="0"/>
        <v>22.231138900000001</v>
      </c>
      <c r="M10" s="318">
        <f t="shared" si="0"/>
        <v>45.322651399999998</v>
      </c>
      <c r="N10" s="318">
        <f t="shared" si="0"/>
        <v>72.018901999999997</v>
      </c>
      <c r="O10" s="318">
        <f t="shared" si="0"/>
        <v>89.498311000000001</v>
      </c>
      <c r="P10" s="318">
        <f t="shared" si="0"/>
        <v>132.63802759999999</v>
      </c>
    </row>
    <row r="11" spans="2:16" x14ac:dyDescent="0.65">
      <c r="B11" s="325" t="s">
        <v>40</v>
      </c>
      <c r="C11" s="326">
        <v>-149598430</v>
      </c>
      <c r="D11" s="326">
        <v>-202364584</v>
      </c>
      <c r="E11" s="326">
        <v>-408773170</v>
      </c>
      <c r="F11" s="326">
        <v>-653183122</v>
      </c>
      <c r="G11" s="326">
        <v>-780168572</v>
      </c>
      <c r="H11" s="331">
        <v>-1172630995</v>
      </c>
      <c r="J11" s="316" t="s">
        <v>40</v>
      </c>
      <c r="K11" s="318">
        <f t="shared" ref="K11:P11" si="1">-C11/10^7</f>
        <v>14.959842999999999</v>
      </c>
      <c r="L11" s="318">
        <f t="shared" si="1"/>
        <v>20.2364584</v>
      </c>
      <c r="M11" s="318">
        <f t="shared" si="1"/>
        <v>40.877316999999998</v>
      </c>
      <c r="N11" s="318">
        <f t="shared" si="1"/>
        <v>65.318312199999994</v>
      </c>
      <c r="O11" s="318">
        <f t="shared" si="1"/>
        <v>78.016857200000004</v>
      </c>
      <c r="P11" s="318">
        <f t="shared" si="1"/>
        <v>117.2630995</v>
      </c>
    </row>
    <row r="12" spans="2:16" x14ac:dyDescent="0.65">
      <c r="B12" s="332" t="s">
        <v>54</v>
      </c>
      <c r="C12" s="333">
        <v>14612874</v>
      </c>
      <c r="D12" s="333">
        <v>19946805</v>
      </c>
      <c r="E12" s="333">
        <v>44453344</v>
      </c>
      <c r="F12" s="333">
        <v>67005898</v>
      </c>
      <c r="G12" s="333">
        <v>114814538</v>
      </c>
      <c r="H12" s="334">
        <v>153749281</v>
      </c>
      <c r="J12" s="316" t="s">
        <v>54</v>
      </c>
      <c r="K12" s="318">
        <f t="shared" ref="K12:P13" si="2">C12/10^7</f>
        <v>1.4612874</v>
      </c>
      <c r="L12" s="318">
        <f t="shared" si="2"/>
        <v>1.9946805000000001</v>
      </c>
      <c r="M12" s="318">
        <f t="shared" si="2"/>
        <v>4.4453344000000001</v>
      </c>
      <c r="N12" s="318">
        <f t="shared" si="2"/>
        <v>6.7005898000000004</v>
      </c>
      <c r="O12" s="318">
        <f t="shared" si="2"/>
        <v>11.481453800000001</v>
      </c>
      <c r="P12" s="318">
        <f t="shared" si="2"/>
        <v>15.3749281</v>
      </c>
    </row>
    <row r="13" spans="2:16" x14ac:dyDescent="0.65">
      <c r="B13" s="325" t="s">
        <v>55</v>
      </c>
      <c r="C13" s="326">
        <v>-2301611</v>
      </c>
      <c r="D13" s="326">
        <v>-5541323</v>
      </c>
      <c r="E13" s="326">
        <v>-4162045</v>
      </c>
      <c r="F13" s="326">
        <v>-5630940</v>
      </c>
      <c r="G13" s="326">
        <v>-10855988</v>
      </c>
      <c r="H13" s="335">
        <v>-10326790</v>
      </c>
      <c r="J13" s="316" t="s">
        <v>55</v>
      </c>
      <c r="K13" s="318">
        <f t="shared" si="2"/>
        <v>-0.23016110000000001</v>
      </c>
      <c r="L13" s="318">
        <f t="shared" si="2"/>
        <v>-0.55413230000000002</v>
      </c>
      <c r="M13" s="318">
        <f t="shared" si="2"/>
        <v>-0.41620449999999998</v>
      </c>
      <c r="N13" s="318">
        <f t="shared" si="2"/>
        <v>-0.56309399999999998</v>
      </c>
      <c r="O13" s="318">
        <f t="shared" si="2"/>
        <v>-1.0855988000000001</v>
      </c>
      <c r="P13" s="318">
        <f t="shared" si="2"/>
        <v>-1.0326789999999999</v>
      </c>
    </row>
    <row r="14" spans="2:16" x14ac:dyDescent="0.65">
      <c r="B14" s="328" t="s">
        <v>804</v>
      </c>
      <c r="C14" s="336" t="s">
        <v>23</v>
      </c>
      <c r="D14" s="336" t="s">
        <v>23</v>
      </c>
      <c r="E14" s="336">
        <v>0</v>
      </c>
      <c r="F14" s="336">
        <v>0</v>
      </c>
      <c r="G14" s="336">
        <v>0</v>
      </c>
      <c r="H14" s="337">
        <v>0</v>
      </c>
      <c r="J14" s="319" t="s">
        <v>56</v>
      </c>
      <c r="K14" s="318">
        <f t="shared" ref="K14:P19" si="3">C15/10^7</f>
        <v>2.0664800000000001E-2</v>
      </c>
      <c r="L14" s="318">
        <f t="shared" si="3"/>
        <v>5.1924699999999997E-2</v>
      </c>
      <c r="M14" s="318">
        <f t="shared" si="3"/>
        <v>0.1073224</v>
      </c>
      <c r="N14" s="318">
        <f t="shared" si="3"/>
        <v>-3.2510306999999998</v>
      </c>
      <c r="O14" s="318">
        <f t="shared" si="3"/>
        <v>4.9097287999999999</v>
      </c>
      <c r="P14" s="318">
        <f>H15/10^7</f>
        <v>0.92376930000000002</v>
      </c>
    </row>
    <row r="15" spans="2:16" x14ac:dyDescent="0.65">
      <c r="B15" s="338" t="s">
        <v>56</v>
      </c>
      <c r="C15" s="339">
        <v>206648</v>
      </c>
      <c r="D15" s="339">
        <v>519247</v>
      </c>
      <c r="E15" s="339">
        <v>1073224</v>
      </c>
      <c r="F15" s="339">
        <v>-32510307</v>
      </c>
      <c r="G15" s="339">
        <v>49097288</v>
      </c>
      <c r="H15" s="331">
        <v>9237693</v>
      </c>
      <c r="J15" s="316" t="s">
        <v>57</v>
      </c>
      <c r="K15" s="318">
        <f t="shared" si="3"/>
        <v>1.2517910999999999</v>
      </c>
      <c r="L15" s="318">
        <f t="shared" si="3"/>
        <v>1.4924729000000001</v>
      </c>
      <c r="M15" s="318">
        <f t="shared" si="3"/>
        <v>4.1364523000000002</v>
      </c>
      <c r="N15" s="318">
        <f t="shared" si="3"/>
        <v>2.8864651000000001</v>
      </c>
      <c r="O15" s="318">
        <f t="shared" si="3"/>
        <v>15.305583800000001</v>
      </c>
      <c r="P15" s="318">
        <f>H17/10^7</f>
        <v>-0.13135669999999999</v>
      </c>
    </row>
    <row r="16" spans="2:16" x14ac:dyDescent="0.65">
      <c r="B16" s="332" t="s">
        <v>57</v>
      </c>
      <c r="C16" s="333">
        <v>12517911</v>
      </c>
      <c r="D16" s="333">
        <v>14924729</v>
      </c>
      <c r="E16" s="333">
        <v>41364523</v>
      </c>
      <c r="F16" s="333">
        <v>28864651</v>
      </c>
      <c r="G16" s="333">
        <v>153055838</v>
      </c>
      <c r="H16" s="340">
        <v>152660184</v>
      </c>
      <c r="J16" s="316" t="s">
        <v>58</v>
      </c>
      <c r="K16" s="318">
        <f t="shared" si="3"/>
        <v>-2.9943999999999998E-2</v>
      </c>
      <c r="L16" s="318">
        <f t="shared" si="3"/>
        <v>-1.5688199999999999E-2</v>
      </c>
      <c r="M16" s="318">
        <f t="shared" si="3"/>
        <v>-1.9973899999999999E-2</v>
      </c>
      <c r="N16" s="318">
        <f t="shared" si="3"/>
        <v>-1.9600800000000002E-2</v>
      </c>
      <c r="O16" s="318">
        <f t="shared" si="3"/>
        <v>-0.44537019999999999</v>
      </c>
      <c r="P16" s="318">
        <f t="shared" si="3"/>
        <v>-0.13135669999999999</v>
      </c>
    </row>
    <row r="17" spans="2:16" ht="21.5" x14ac:dyDescent="0.65">
      <c r="B17" s="325" t="s">
        <v>58</v>
      </c>
      <c r="C17" s="326">
        <v>-299440</v>
      </c>
      <c r="D17" s="326">
        <v>-156882</v>
      </c>
      <c r="E17" s="326">
        <v>-199739</v>
      </c>
      <c r="F17" s="326">
        <v>-196008</v>
      </c>
      <c r="G17" s="326">
        <v>-4453702</v>
      </c>
      <c r="H17" s="341">
        <v>-1313567</v>
      </c>
      <c r="J17" s="316" t="s">
        <v>59</v>
      </c>
      <c r="K17" s="318">
        <f t="shared" si="3"/>
        <v>5.6418599999999999E-2</v>
      </c>
      <c r="L17" s="318">
        <f t="shared" si="3"/>
        <v>5.4542899999999998E-2</v>
      </c>
      <c r="M17" s="318">
        <f t="shared" si="3"/>
        <v>0.22071389999999999</v>
      </c>
      <c r="N17" s="318">
        <f t="shared" si="3"/>
        <v>0.38782420000000001</v>
      </c>
      <c r="O17" s="318">
        <f t="shared" si="3"/>
        <v>0.89570870000000002</v>
      </c>
      <c r="P17" s="318">
        <f>H18/10^7</f>
        <v>0.89570870000000002</v>
      </c>
    </row>
    <row r="18" spans="2:16" x14ac:dyDescent="0.65">
      <c r="B18" s="328" t="s">
        <v>59</v>
      </c>
      <c r="C18" s="336">
        <v>564186</v>
      </c>
      <c r="D18" s="336">
        <v>545429</v>
      </c>
      <c r="E18" s="336">
        <v>2207139</v>
      </c>
      <c r="F18" s="336">
        <v>3878242</v>
      </c>
      <c r="G18" s="342">
        <v>8957087</v>
      </c>
      <c r="H18" s="343">
        <v>8957087</v>
      </c>
      <c r="J18" s="316" t="s">
        <v>60</v>
      </c>
      <c r="K18" s="318">
        <f t="shared" si="3"/>
        <v>1.2782656999999999</v>
      </c>
      <c r="L18" s="318">
        <f t="shared" si="3"/>
        <v>1.5313276</v>
      </c>
      <c r="M18" s="318">
        <f t="shared" si="3"/>
        <v>4.3371922999999999</v>
      </c>
      <c r="N18" s="318">
        <f t="shared" si="3"/>
        <v>3.2546884999999999</v>
      </c>
      <c r="O18" s="318">
        <f t="shared" si="3"/>
        <v>15.7559223</v>
      </c>
      <c r="P18" s="318">
        <f t="shared" si="3"/>
        <v>16.459173700000001</v>
      </c>
    </row>
    <row r="19" spans="2:16" x14ac:dyDescent="0.65">
      <c r="B19" s="344" t="s">
        <v>60</v>
      </c>
      <c r="C19" s="345">
        <v>12782657</v>
      </c>
      <c r="D19" s="345">
        <v>15313276</v>
      </c>
      <c r="E19" s="345">
        <v>43371923</v>
      </c>
      <c r="F19" s="345">
        <v>32546885</v>
      </c>
      <c r="G19" s="326">
        <v>157559223</v>
      </c>
      <c r="H19" s="346">
        <v>164591737</v>
      </c>
      <c r="J19" s="316" t="s">
        <v>61</v>
      </c>
      <c r="K19" s="318">
        <f t="shared" si="3"/>
        <v>-0.24897259999999999</v>
      </c>
      <c r="L19" s="318">
        <f t="shared" si="3"/>
        <v>-0.29987530000000001</v>
      </c>
      <c r="M19" s="318">
        <f t="shared" si="3"/>
        <v>-0.82840939999999996</v>
      </c>
      <c r="N19" s="318">
        <f t="shared" si="3"/>
        <v>-0.61666089999999996</v>
      </c>
      <c r="O19" s="318">
        <f t="shared" si="3"/>
        <v>-2.3487472</v>
      </c>
      <c r="P19" s="318">
        <f t="shared" si="3"/>
        <v>-3.1074788</v>
      </c>
    </row>
    <row r="20" spans="2:16" x14ac:dyDescent="0.65">
      <c r="B20" s="328" t="s">
        <v>61</v>
      </c>
      <c r="C20" s="336">
        <v>-2489726</v>
      </c>
      <c r="D20" s="336">
        <v>-2998753</v>
      </c>
      <c r="E20" s="336">
        <v>-8284094</v>
      </c>
      <c r="F20" s="336">
        <v>-6166609</v>
      </c>
      <c r="G20" s="342">
        <v>-23487472</v>
      </c>
      <c r="H20" s="347">
        <v>-31074788</v>
      </c>
      <c r="J20" s="316" t="s">
        <v>64</v>
      </c>
      <c r="K20" s="320">
        <f t="shared" ref="K20:P20" si="4">C23/10^7</f>
        <v>1.0292931000000001</v>
      </c>
      <c r="L20" s="320">
        <f t="shared" si="4"/>
        <v>1.2314522999999999</v>
      </c>
      <c r="M20" s="320">
        <f t="shared" si="4"/>
        <v>3.5087828999999999</v>
      </c>
      <c r="N20" s="320">
        <f t="shared" si="4"/>
        <v>2.6380276</v>
      </c>
      <c r="O20" s="320">
        <f t="shared" si="4"/>
        <v>13.4071751</v>
      </c>
      <c r="P20" s="320">
        <f t="shared" si="4"/>
        <v>13.3516949</v>
      </c>
    </row>
    <row r="21" spans="2:16" x14ac:dyDescent="0.65">
      <c r="B21" s="344" t="s">
        <v>62</v>
      </c>
      <c r="C21" s="345">
        <v>10292931</v>
      </c>
      <c r="D21" s="345">
        <v>12314523</v>
      </c>
      <c r="E21" s="345">
        <v>35087829</v>
      </c>
      <c r="F21" s="345">
        <v>26380276</v>
      </c>
      <c r="G21" s="326">
        <v>134071751</v>
      </c>
      <c r="H21" s="348">
        <v>133516949</v>
      </c>
      <c r="J21" s="316" t="s">
        <v>164</v>
      </c>
      <c r="K21" s="321">
        <v>0.87</v>
      </c>
      <c r="L21" s="321">
        <v>0.62</v>
      </c>
      <c r="M21" s="321">
        <v>0.67</v>
      </c>
      <c r="N21" s="321">
        <v>0.46</v>
      </c>
      <c r="O21" s="321">
        <v>0.82</v>
      </c>
      <c r="P21" s="321" t="s">
        <v>23</v>
      </c>
    </row>
    <row r="22" spans="2:16" x14ac:dyDescent="0.65">
      <c r="B22" s="328" t="s">
        <v>63</v>
      </c>
      <c r="C22" s="336">
        <v>0</v>
      </c>
      <c r="D22" s="336">
        <v>0</v>
      </c>
      <c r="E22" s="336">
        <v>0</v>
      </c>
      <c r="F22" s="336">
        <v>0</v>
      </c>
      <c r="G22" s="336">
        <v>0</v>
      </c>
      <c r="H22" s="349">
        <v>0</v>
      </c>
    </row>
    <row r="23" spans="2:16" x14ac:dyDescent="0.65">
      <c r="B23" s="344" t="s">
        <v>64</v>
      </c>
      <c r="C23" s="350">
        <v>10292931</v>
      </c>
      <c r="D23" s="350">
        <v>12314523</v>
      </c>
      <c r="E23" s="350">
        <v>35087829</v>
      </c>
      <c r="F23" s="350">
        <v>26380276</v>
      </c>
      <c r="G23" s="350">
        <v>134071751</v>
      </c>
      <c r="H23" s="351">
        <v>133516949</v>
      </c>
    </row>
    <row r="24" spans="2:16" x14ac:dyDescent="0.65">
      <c r="B24" s="328" t="s">
        <v>65</v>
      </c>
      <c r="C24" s="336">
        <v>746</v>
      </c>
      <c r="D24" s="336">
        <v>892</v>
      </c>
      <c r="E24" s="336">
        <v>1223</v>
      </c>
      <c r="F24" s="336">
        <v>920</v>
      </c>
      <c r="G24" s="336">
        <v>998</v>
      </c>
      <c r="H24" s="349">
        <v>994</v>
      </c>
    </row>
    <row r="25" spans="2:16" x14ac:dyDescent="0.65">
      <c r="B25" s="325" t="s">
        <v>66</v>
      </c>
      <c r="C25" s="326">
        <v>13800000</v>
      </c>
      <c r="D25" s="326">
        <v>13800000</v>
      </c>
      <c r="E25" s="326">
        <v>28688000</v>
      </c>
      <c r="F25" s="326">
        <v>28688000</v>
      </c>
      <c r="G25" s="326">
        <v>134341922</v>
      </c>
      <c r="H25" s="331">
        <v>134341922</v>
      </c>
    </row>
    <row r="26" spans="2:16" ht="20.45" thickBot="1" x14ac:dyDescent="0.7">
      <c r="B26" s="352" t="s">
        <v>67</v>
      </c>
      <c r="C26" s="353">
        <v>77</v>
      </c>
      <c r="D26" s="353">
        <v>92</v>
      </c>
      <c r="E26" s="353">
        <v>261</v>
      </c>
      <c r="F26" s="353">
        <v>196</v>
      </c>
      <c r="G26" s="353">
        <v>998</v>
      </c>
      <c r="H26" s="354" t="s">
        <v>657</v>
      </c>
    </row>
    <row r="28" spans="2:16" x14ac:dyDescent="0.65">
      <c r="B28" s="380"/>
    </row>
    <row r="29" spans="2:16" x14ac:dyDescent="0.65">
      <c r="B29" s="381"/>
      <c r="C29" s="381"/>
      <c r="D29" s="381"/>
      <c r="E29" s="381"/>
      <c r="F29" s="381"/>
      <c r="G29" s="381"/>
      <c r="H29" s="381"/>
    </row>
    <row r="30" spans="2:16" x14ac:dyDescent="0.65">
      <c r="B30" s="381" t="s">
        <v>43</v>
      </c>
      <c r="C30" s="381"/>
      <c r="D30" s="381"/>
      <c r="E30" s="381"/>
      <c r="F30" s="381"/>
      <c r="G30" s="381"/>
      <c r="H30" s="381"/>
    </row>
    <row r="31" spans="2:16" x14ac:dyDescent="0.65">
      <c r="B31" s="381" t="s">
        <v>42</v>
      </c>
      <c r="C31" s="381"/>
      <c r="D31" s="381"/>
      <c r="E31" s="381"/>
      <c r="F31" s="381"/>
      <c r="G31" s="381"/>
      <c r="H31" s="381"/>
    </row>
    <row r="32" spans="2:16" x14ac:dyDescent="0.65">
      <c r="B32" s="381"/>
      <c r="C32" s="381"/>
      <c r="D32" s="381"/>
      <c r="E32" s="381"/>
      <c r="F32" s="381"/>
      <c r="G32" s="381"/>
      <c r="H32" s="381"/>
    </row>
    <row r="33" spans="2:8" x14ac:dyDescent="0.65">
      <c r="B33" s="382" t="s">
        <v>805</v>
      </c>
      <c r="C33" s="382"/>
      <c r="D33" s="382"/>
      <c r="E33" s="382"/>
      <c r="F33" s="382"/>
      <c r="G33" s="382"/>
      <c r="H33" s="382"/>
    </row>
    <row r="34" spans="2:8" x14ac:dyDescent="0.65">
      <c r="B34" s="383" t="s">
        <v>53</v>
      </c>
      <c r="C34" s="382"/>
      <c r="D34" s="382"/>
      <c r="E34" s="382"/>
      <c r="F34" s="382"/>
      <c r="G34" s="382"/>
      <c r="H34" s="382"/>
    </row>
    <row r="35" spans="2:8" x14ac:dyDescent="0.65">
      <c r="B35" s="381"/>
      <c r="C35" s="381"/>
      <c r="D35" s="381"/>
      <c r="E35" s="381"/>
      <c r="F35" s="381"/>
      <c r="G35" s="381"/>
      <c r="H35" s="381"/>
    </row>
    <row r="36" spans="2:8" ht="20.45" thickBot="1" x14ac:dyDescent="0.7">
      <c r="B36" s="384" t="s">
        <v>52</v>
      </c>
      <c r="C36" s="385"/>
      <c r="D36" s="385" t="s">
        <v>806</v>
      </c>
      <c r="E36" s="385" t="s">
        <v>807</v>
      </c>
      <c r="F36" s="385" t="s">
        <v>808</v>
      </c>
      <c r="G36" s="385" t="s">
        <v>809</v>
      </c>
      <c r="H36" s="385" t="s">
        <v>810</v>
      </c>
    </row>
    <row r="37" spans="2:8" x14ac:dyDescent="0.65">
      <c r="B37" s="386" t="s">
        <v>811</v>
      </c>
      <c r="C37" s="387"/>
      <c r="D37" s="387" t="s">
        <v>812</v>
      </c>
      <c r="E37" s="387" t="s">
        <v>813</v>
      </c>
      <c r="F37" s="387" t="s">
        <v>814</v>
      </c>
      <c r="G37" s="387" t="s">
        <v>815</v>
      </c>
      <c r="H37" s="387" t="s">
        <v>816</v>
      </c>
    </row>
    <row r="38" spans="2:8" x14ac:dyDescent="0.65">
      <c r="B38" s="388"/>
      <c r="C38" s="389"/>
      <c r="D38" s="389"/>
      <c r="E38" s="389"/>
      <c r="F38" s="389"/>
      <c r="G38" s="389"/>
      <c r="H38" s="389"/>
    </row>
    <row r="39" spans="2:8" x14ac:dyDescent="0.65">
      <c r="B39" s="390" t="s">
        <v>3</v>
      </c>
      <c r="C39" s="391"/>
      <c r="D39" s="391">
        <v>194021776</v>
      </c>
      <c r="E39" s="391">
        <v>250853149</v>
      </c>
      <c r="F39" s="391">
        <v>485390122</v>
      </c>
      <c r="G39" s="391">
        <v>866331631</v>
      </c>
      <c r="H39" s="391">
        <v>1109548371</v>
      </c>
    </row>
    <row r="40" spans="2:8" x14ac:dyDescent="0.65">
      <c r="B40" s="388" t="s">
        <v>40</v>
      </c>
      <c r="C40" s="389"/>
      <c r="D40" s="389">
        <v>-176997416</v>
      </c>
      <c r="E40" s="389">
        <v>-225178914</v>
      </c>
      <c r="F40" s="389">
        <v>-429882294</v>
      </c>
      <c r="G40" s="389">
        <v>-811599243</v>
      </c>
      <c r="H40" s="389">
        <v>-981308661</v>
      </c>
    </row>
    <row r="41" spans="2:8" x14ac:dyDescent="0.65">
      <c r="B41" s="392" t="s">
        <v>54</v>
      </c>
      <c r="C41" s="393"/>
      <c r="D41" s="393">
        <v>17024360</v>
      </c>
      <c r="E41" s="393">
        <v>25674235</v>
      </c>
      <c r="F41" s="393">
        <v>55507828</v>
      </c>
      <c r="G41" s="393">
        <v>54732388</v>
      </c>
      <c r="H41" s="393">
        <v>128239710</v>
      </c>
    </row>
    <row r="42" spans="2:8" x14ac:dyDescent="0.65">
      <c r="B42" s="388" t="s">
        <v>55</v>
      </c>
      <c r="C42" s="389"/>
      <c r="D42" s="389">
        <v>-2401846</v>
      </c>
      <c r="E42" s="389">
        <v>-3281739</v>
      </c>
      <c r="F42" s="389">
        <v>-5212276</v>
      </c>
      <c r="G42" s="389">
        <v>-7262785</v>
      </c>
      <c r="H42" s="389">
        <v>-8311647</v>
      </c>
    </row>
    <row r="43" spans="2:8" x14ac:dyDescent="0.65">
      <c r="B43" s="390" t="s">
        <v>804</v>
      </c>
      <c r="C43" s="391"/>
      <c r="D43" s="391" t="s">
        <v>23</v>
      </c>
      <c r="E43" s="391" t="s">
        <v>23</v>
      </c>
      <c r="F43" s="391">
        <v>0</v>
      </c>
      <c r="G43" s="391">
        <v>0</v>
      </c>
      <c r="H43" s="391">
        <v>0</v>
      </c>
    </row>
    <row r="44" spans="2:8" x14ac:dyDescent="0.65">
      <c r="B44" s="388" t="s">
        <v>56</v>
      </c>
      <c r="C44" s="389"/>
      <c r="D44" s="389">
        <v>1952697</v>
      </c>
      <c r="E44" s="389">
        <v>1837</v>
      </c>
      <c r="F44" s="389">
        <v>9400897</v>
      </c>
      <c r="G44" s="389">
        <v>-19881449</v>
      </c>
      <c r="H44" s="389">
        <v>38672654</v>
      </c>
    </row>
    <row r="45" spans="2:8" x14ac:dyDescent="0.65">
      <c r="B45" s="392" t="s">
        <v>57</v>
      </c>
      <c r="C45" s="393"/>
      <c r="D45" s="393">
        <v>16575211</v>
      </c>
      <c r="E45" s="393">
        <v>22394333</v>
      </c>
      <c r="F45" s="393">
        <v>59696449</v>
      </c>
      <c r="G45" s="393">
        <v>27588154</v>
      </c>
      <c r="H45" s="393">
        <v>158600717</v>
      </c>
    </row>
    <row r="46" spans="2:8" x14ac:dyDescent="0.65">
      <c r="B46" s="388" t="s">
        <v>58</v>
      </c>
      <c r="C46" s="389"/>
      <c r="D46" s="389">
        <v>0</v>
      </c>
      <c r="E46" s="389">
        <v>0</v>
      </c>
      <c r="F46" s="389">
        <v>0</v>
      </c>
      <c r="G46" s="389">
        <v>0</v>
      </c>
      <c r="H46" s="389">
        <v>-88767</v>
      </c>
    </row>
    <row r="47" spans="2:8" x14ac:dyDescent="0.65">
      <c r="B47" s="390" t="s">
        <v>59</v>
      </c>
      <c r="C47" s="391"/>
      <c r="D47" s="391">
        <v>-1774443</v>
      </c>
      <c r="E47" s="391">
        <v>-152618</v>
      </c>
      <c r="F47" s="391">
        <v>164963</v>
      </c>
      <c r="G47" s="391">
        <v>4136439</v>
      </c>
      <c r="H47" s="391">
        <v>7280248</v>
      </c>
    </row>
    <row r="48" spans="2:8" x14ac:dyDescent="0.65">
      <c r="B48" s="394" t="s">
        <v>60</v>
      </c>
      <c r="C48" s="395"/>
      <c r="D48" s="395">
        <v>14800768</v>
      </c>
      <c r="E48" s="395">
        <v>22241715</v>
      </c>
      <c r="F48" s="395">
        <v>59861412</v>
      </c>
      <c r="G48" s="395">
        <v>31724593</v>
      </c>
      <c r="H48" s="395">
        <v>165792198</v>
      </c>
    </row>
    <row r="49" spans="2:8" x14ac:dyDescent="0.65">
      <c r="B49" s="390" t="s">
        <v>61</v>
      </c>
      <c r="C49" s="391"/>
      <c r="D49" s="391">
        <v>-3339992</v>
      </c>
      <c r="E49" s="391">
        <v>-4826461</v>
      </c>
      <c r="F49" s="391">
        <v>-9086856</v>
      </c>
      <c r="G49" s="391">
        <v>-3199962</v>
      </c>
      <c r="H49" s="391">
        <v>-17342856</v>
      </c>
    </row>
    <row r="50" spans="2:8" x14ac:dyDescent="0.65">
      <c r="B50" s="394" t="s">
        <v>62</v>
      </c>
      <c r="C50" s="395"/>
      <c r="D50" s="395">
        <v>11460776</v>
      </c>
      <c r="E50" s="395">
        <v>17415254</v>
      </c>
      <c r="F50" s="395">
        <v>50774556</v>
      </c>
      <c r="G50" s="395">
        <v>28524631</v>
      </c>
      <c r="H50" s="395">
        <v>148449342</v>
      </c>
    </row>
    <row r="51" spans="2:8" x14ac:dyDescent="0.65">
      <c r="B51" s="390" t="s">
        <v>63</v>
      </c>
      <c r="C51" s="391"/>
      <c r="D51" s="391">
        <v>0</v>
      </c>
      <c r="E51" s="391">
        <v>0</v>
      </c>
      <c r="F51" s="391">
        <v>0</v>
      </c>
      <c r="G51" s="391">
        <v>0</v>
      </c>
      <c r="H51" s="391">
        <v>0</v>
      </c>
    </row>
    <row r="52" spans="2:8" x14ac:dyDescent="0.65">
      <c r="B52" s="394" t="s">
        <v>64</v>
      </c>
      <c r="C52" s="395"/>
      <c r="D52" s="395">
        <v>11460776</v>
      </c>
      <c r="E52" s="395">
        <v>17415254</v>
      </c>
      <c r="F52" s="395">
        <v>50774556</v>
      </c>
      <c r="G52" s="395">
        <v>28524631</v>
      </c>
      <c r="H52" s="395">
        <v>148449342</v>
      </c>
    </row>
    <row r="53" spans="2:8" x14ac:dyDescent="0.65">
      <c r="B53" s="390" t="s">
        <v>65</v>
      </c>
      <c r="C53" s="391"/>
      <c r="D53" s="391">
        <v>573</v>
      </c>
      <c r="E53" s="391">
        <v>871</v>
      </c>
      <c r="F53" s="391">
        <v>996</v>
      </c>
      <c r="G53" s="391">
        <v>0</v>
      </c>
      <c r="H53" s="391">
        <v>1953</v>
      </c>
    </row>
    <row r="54" spans="2:8" x14ac:dyDescent="0.65">
      <c r="B54" s="388" t="s">
        <v>66</v>
      </c>
      <c r="C54" s="389"/>
      <c r="D54" s="389">
        <v>20000000</v>
      </c>
      <c r="E54" s="389">
        <v>20000000</v>
      </c>
      <c r="F54" s="389">
        <v>51000000</v>
      </c>
      <c r="G54" s="389">
        <v>51000000</v>
      </c>
      <c r="H54" s="389">
        <v>76000000</v>
      </c>
    </row>
    <row r="55" spans="2:8" x14ac:dyDescent="0.65">
      <c r="B55" s="390" t="s">
        <v>67</v>
      </c>
      <c r="C55" s="391"/>
      <c r="D55" s="391">
        <v>151</v>
      </c>
      <c r="E55" s="391">
        <v>229</v>
      </c>
      <c r="F55" s="391">
        <v>668</v>
      </c>
      <c r="G55" s="391">
        <v>375</v>
      </c>
      <c r="H55" s="391">
        <v>1953</v>
      </c>
    </row>
    <row r="56" spans="2:8" x14ac:dyDescent="0.65">
      <c r="B56" s="579" t="s">
        <v>817</v>
      </c>
      <c r="C56" s="579"/>
      <c r="D56" s="381">
        <f>-D49/D48</f>
        <v>0.22566342503307937</v>
      </c>
      <c r="E56" s="381">
        <f>-E49/E48</f>
        <v>0.21700039767616841</v>
      </c>
      <c r="F56" s="381">
        <f>-F49/F48</f>
        <v>0.15179822353672512</v>
      </c>
      <c r="G56" s="381">
        <f>-G49/G48</f>
        <v>0.10086692049918497</v>
      </c>
      <c r="H56" s="381">
        <f>-H49/H48</f>
        <v>0.104605983931765</v>
      </c>
    </row>
    <row r="59" spans="2:8" x14ac:dyDescent="0.65">
      <c r="B59" s="381"/>
      <c r="C59" s="381"/>
      <c r="D59" s="381"/>
      <c r="E59" s="381"/>
      <c r="F59" s="381"/>
      <c r="G59" s="381"/>
      <c r="H59" s="381"/>
    </row>
    <row r="60" spans="2:8" x14ac:dyDescent="0.65">
      <c r="B60" s="381" t="s">
        <v>43</v>
      </c>
      <c r="C60" s="381"/>
      <c r="D60" s="381"/>
      <c r="E60" s="381"/>
      <c r="F60" s="381"/>
      <c r="G60" s="381"/>
      <c r="H60" s="381"/>
    </row>
    <row r="61" spans="2:8" x14ac:dyDescent="0.65">
      <c r="B61" s="381" t="s">
        <v>42</v>
      </c>
      <c r="C61" s="381"/>
      <c r="D61" s="381"/>
      <c r="E61" s="381"/>
      <c r="F61" s="381"/>
      <c r="G61" s="381"/>
      <c r="H61" s="381"/>
    </row>
    <row r="62" spans="2:8" x14ac:dyDescent="0.65">
      <c r="B62" s="381"/>
      <c r="C62" s="381"/>
      <c r="D62" s="381"/>
      <c r="E62" s="381"/>
      <c r="F62" s="381"/>
      <c r="G62" s="381"/>
      <c r="H62" s="381"/>
    </row>
    <row r="63" spans="2:8" x14ac:dyDescent="0.65">
      <c r="B63" s="382" t="s">
        <v>818</v>
      </c>
      <c r="C63" s="382"/>
      <c r="D63" s="382"/>
      <c r="E63" s="382"/>
      <c r="F63" s="382"/>
      <c r="G63" s="382"/>
      <c r="H63" s="382"/>
    </row>
    <row r="64" spans="2:8" x14ac:dyDescent="0.65">
      <c r="B64" s="383" t="s">
        <v>53</v>
      </c>
      <c r="C64" s="382"/>
      <c r="D64" s="382"/>
      <c r="E64" s="382"/>
      <c r="F64" s="382"/>
      <c r="G64" s="382"/>
      <c r="H64" s="382"/>
    </row>
    <row r="65" spans="2:8" x14ac:dyDescent="0.65">
      <c r="B65" s="381"/>
      <c r="C65" s="381"/>
      <c r="D65" s="381"/>
      <c r="E65" s="381"/>
      <c r="F65" s="381"/>
      <c r="G65" s="381"/>
      <c r="H65" s="381"/>
    </row>
    <row r="66" spans="2:8" ht="20.45" thickBot="1" x14ac:dyDescent="0.7">
      <c r="B66" s="384" t="s">
        <v>52</v>
      </c>
      <c r="C66" s="385"/>
      <c r="D66" s="385" t="s">
        <v>806</v>
      </c>
      <c r="E66" s="385" t="s">
        <v>807</v>
      </c>
      <c r="F66" s="385" t="s">
        <v>808</v>
      </c>
      <c r="G66" s="385" t="s">
        <v>809</v>
      </c>
      <c r="H66" s="385" t="s">
        <v>810</v>
      </c>
    </row>
    <row r="67" spans="2:8" x14ac:dyDescent="0.65">
      <c r="B67" s="386" t="s">
        <v>811</v>
      </c>
      <c r="C67" s="387"/>
      <c r="D67" s="387" t="s">
        <v>819</v>
      </c>
      <c r="E67" s="387" t="s">
        <v>820</v>
      </c>
      <c r="F67" s="387" t="s">
        <v>821</v>
      </c>
      <c r="G67" s="387" t="s">
        <v>822</v>
      </c>
      <c r="H67" s="387" t="s">
        <v>823</v>
      </c>
    </row>
    <row r="68" spans="2:8" x14ac:dyDescent="0.65">
      <c r="B68" s="388"/>
      <c r="C68" s="389"/>
      <c r="D68" s="389"/>
      <c r="E68" s="389"/>
      <c r="F68" s="389"/>
      <c r="G68" s="389"/>
      <c r="H68" s="389"/>
    </row>
    <row r="69" spans="2:8" x14ac:dyDescent="0.65">
      <c r="B69" s="390" t="s">
        <v>3</v>
      </c>
      <c r="C69" s="391"/>
      <c r="D69" s="391">
        <v>60934401</v>
      </c>
      <c r="E69" s="391">
        <v>82017675</v>
      </c>
      <c r="F69" s="391">
        <v>171496684</v>
      </c>
      <c r="G69" s="391">
        <v>258119406</v>
      </c>
      <c r="H69" s="391">
        <v>358665256</v>
      </c>
    </row>
    <row r="70" spans="2:8" x14ac:dyDescent="0.65">
      <c r="B70" s="388" t="s">
        <v>40</v>
      </c>
      <c r="C70" s="389"/>
      <c r="D70" s="389">
        <v>-54983831</v>
      </c>
      <c r="E70" s="389">
        <v>-73301403</v>
      </c>
      <c r="F70" s="389">
        <v>-150689088</v>
      </c>
      <c r="G70" s="389">
        <v>-237977735</v>
      </c>
      <c r="H70" s="389">
        <v>-311173654</v>
      </c>
    </row>
    <row r="71" spans="2:8" x14ac:dyDescent="0.65">
      <c r="B71" s="392" t="s">
        <v>54</v>
      </c>
      <c r="C71" s="393"/>
      <c r="D71" s="393">
        <v>5950570</v>
      </c>
      <c r="E71" s="393">
        <v>8716272</v>
      </c>
      <c r="F71" s="393">
        <v>20807596</v>
      </c>
      <c r="G71" s="393">
        <v>20141671</v>
      </c>
      <c r="H71" s="393">
        <v>47491602</v>
      </c>
    </row>
    <row r="72" spans="2:8" x14ac:dyDescent="0.65">
      <c r="B72" s="388" t="s">
        <v>55</v>
      </c>
      <c r="C72" s="389"/>
      <c r="D72" s="389">
        <v>-885172</v>
      </c>
      <c r="E72" s="389">
        <v>-917599</v>
      </c>
      <c r="F72" s="389">
        <v>-1075204</v>
      </c>
      <c r="G72" s="389">
        <v>-1570548</v>
      </c>
      <c r="H72" s="389">
        <v>-1959946</v>
      </c>
    </row>
    <row r="73" spans="2:8" x14ac:dyDescent="0.65">
      <c r="B73" s="390" t="s">
        <v>804</v>
      </c>
      <c r="C73" s="391"/>
      <c r="D73" s="391" t="s">
        <v>23</v>
      </c>
      <c r="E73" s="391" t="s">
        <v>23</v>
      </c>
      <c r="F73" s="391">
        <v>0</v>
      </c>
      <c r="G73" s="391">
        <v>0</v>
      </c>
      <c r="H73" s="391">
        <v>0</v>
      </c>
    </row>
    <row r="74" spans="2:8" x14ac:dyDescent="0.65">
      <c r="B74" s="388" t="s">
        <v>56</v>
      </c>
      <c r="C74" s="389"/>
      <c r="D74" s="389">
        <v>613290</v>
      </c>
      <c r="E74" s="389">
        <v>-258890</v>
      </c>
      <c r="F74" s="389">
        <v>814131</v>
      </c>
      <c r="G74" s="389">
        <v>-5789053</v>
      </c>
      <c r="H74" s="389">
        <v>12009813</v>
      </c>
    </row>
    <row r="75" spans="2:8" x14ac:dyDescent="0.65">
      <c r="B75" s="392" t="s">
        <v>57</v>
      </c>
      <c r="C75" s="393"/>
      <c r="D75" s="393">
        <v>5678688</v>
      </c>
      <c r="E75" s="393">
        <v>7539783</v>
      </c>
      <c r="F75" s="393">
        <v>20546523</v>
      </c>
      <c r="G75" s="393">
        <v>12782070</v>
      </c>
      <c r="H75" s="393">
        <v>57541469</v>
      </c>
    </row>
    <row r="76" spans="2:8" x14ac:dyDescent="0.65">
      <c r="B76" s="388" t="s">
        <v>58</v>
      </c>
      <c r="C76" s="389"/>
      <c r="D76" s="389">
        <v>-1274208</v>
      </c>
      <c r="E76" s="389">
        <v>-1299822</v>
      </c>
      <c r="F76" s="389">
        <v>-347370</v>
      </c>
      <c r="G76" s="389">
        <v>-23202</v>
      </c>
      <c r="H76" s="389">
        <v>-1432</v>
      </c>
    </row>
    <row r="77" spans="2:8" x14ac:dyDescent="0.65">
      <c r="B77" s="390" t="s">
        <v>59</v>
      </c>
      <c r="C77" s="391"/>
      <c r="D77" s="391">
        <v>-429159</v>
      </c>
      <c r="E77" s="391">
        <v>-711428</v>
      </c>
      <c r="F77" s="391">
        <v>1025470</v>
      </c>
      <c r="G77" s="391">
        <v>-210022</v>
      </c>
      <c r="H77" s="391">
        <v>5052554</v>
      </c>
    </row>
    <row r="78" spans="2:8" x14ac:dyDescent="0.65">
      <c r="B78" s="394" t="s">
        <v>60</v>
      </c>
      <c r="C78" s="395"/>
      <c r="D78" s="395">
        <v>3975321</v>
      </c>
      <c r="E78" s="395">
        <v>5528533</v>
      </c>
      <c r="F78" s="395">
        <v>21224623</v>
      </c>
      <c r="G78" s="395">
        <v>12548846</v>
      </c>
      <c r="H78" s="395">
        <v>62592591</v>
      </c>
    </row>
    <row r="79" spans="2:8" x14ac:dyDescent="0.65">
      <c r="B79" s="390" t="s">
        <v>61</v>
      </c>
      <c r="C79" s="391"/>
      <c r="D79" s="391">
        <v>-722783</v>
      </c>
      <c r="E79" s="391">
        <v>-1227328</v>
      </c>
      <c r="F79" s="391">
        <v>-4279479</v>
      </c>
      <c r="G79" s="391">
        <v>-2500850</v>
      </c>
      <c r="H79" s="391">
        <v>-6914790</v>
      </c>
    </row>
    <row r="80" spans="2:8" x14ac:dyDescent="0.65">
      <c r="B80" s="394" t="s">
        <v>62</v>
      </c>
      <c r="C80" s="395"/>
      <c r="D80" s="395">
        <v>3252538</v>
      </c>
      <c r="E80" s="395">
        <v>4301205</v>
      </c>
      <c r="F80" s="395">
        <v>16945144</v>
      </c>
      <c r="G80" s="395">
        <v>10047996</v>
      </c>
      <c r="H80" s="395">
        <v>55677801</v>
      </c>
    </row>
    <row r="81" spans="2:8" x14ac:dyDescent="0.65">
      <c r="B81" s="390" t="s">
        <v>63</v>
      </c>
      <c r="C81" s="391"/>
      <c r="D81" s="391">
        <v>0</v>
      </c>
      <c r="E81" s="391">
        <v>0</v>
      </c>
      <c r="F81" s="391">
        <v>0</v>
      </c>
      <c r="G81" s="391">
        <v>0</v>
      </c>
      <c r="H81" s="391">
        <v>0</v>
      </c>
    </row>
    <row r="82" spans="2:8" x14ac:dyDescent="0.65">
      <c r="B82" s="394" t="s">
        <v>64</v>
      </c>
      <c r="C82" s="395"/>
      <c r="D82" s="395">
        <v>3252538</v>
      </c>
      <c r="E82" s="395">
        <v>4301205</v>
      </c>
      <c r="F82" s="395">
        <v>16945144</v>
      </c>
      <c r="G82" s="395">
        <v>10047996</v>
      </c>
      <c r="H82" s="395">
        <v>55677801</v>
      </c>
    </row>
    <row r="83" spans="2:8" x14ac:dyDescent="0.65">
      <c r="B83" s="390" t="s">
        <v>65</v>
      </c>
      <c r="C83" s="391"/>
      <c r="D83" s="391">
        <v>837</v>
      </c>
      <c r="E83" s="391">
        <v>1107</v>
      </c>
      <c r="F83" s="391">
        <v>4363</v>
      </c>
      <c r="G83" s="391">
        <v>1005</v>
      </c>
      <c r="H83" s="391">
        <v>5568</v>
      </c>
    </row>
    <row r="84" spans="2:8" x14ac:dyDescent="0.65">
      <c r="B84" s="388" t="s">
        <v>66</v>
      </c>
      <c r="C84" s="389"/>
      <c r="D84" s="389">
        <v>3884211</v>
      </c>
      <c r="E84" s="389">
        <v>3884211</v>
      </c>
      <c r="F84" s="389">
        <v>3884211</v>
      </c>
      <c r="G84" s="389">
        <v>10000000</v>
      </c>
      <c r="H84" s="389">
        <v>10000000</v>
      </c>
    </row>
    <row r="85" spans="2:8" x14ac:dyDescent="0.65">
      <c r="B85" s="390" t="s">
        <v>67</v>
      </c>
      <c r="C85" s="391"/>
      <c r="D85" s="391">
        <v>325</v>
      </c>
      <c r="E85" s="391">
        <v>430</v>
      </c>
      <c r="F85" s="391">
        <v>1695</v>
      </c>
      <c r="G85" s="391">
        <v>1005</v>
      </c>
      <c r="H85" s="391">
        <v>5568</v>
      </c>
    </row>
    <row r="86" spans="2:8" x14ac:dyDescent="0.65">
      <c r="B86" s="381"/>
      <c r="C86" s="381"/>
      <c r="D86" s="381"/>
      <c r="E86" s="381"/>
      <c r="F86" s="381"/>
      <c r="G86" s="381"/>
      <c r="H86" s="381"/>
    </row>
    <row r="87" spans="2:8" x14ac:dyDescent="0.65">
      <c r="B87" s="580" t="s">
        <v>817</v>
      </c>
      <c r="C87" s="580"/>
      <c r="D87" s="396">
        <f>-D79/D78</f>
        <v>0.181817518635602</v>
      </c>
      <c r="E87" s="396">
        <f>-E79/E78</f>
        <v>0.22199885575432035</v>
      </c>
      <c r="F87" s="396">
        <f>-F79/F78</f>
        <v>0.2016280336286774</v>
      </c>
      <c r="G87" s="396">
        <f>-G79/G78</f>
        <v>0.19928924141709922</v>
      </c>
      <c r="H87" s="396">
        <f>-H79/H78</f>
        <v>0.11047297914221189</v>
      </c>
    </row>
    <row r="89" spans="2:8" x14ac:dyDescent="0.65">
      <c r="B89" s="381"/>
      <c r="C89" s="381"/>
      <c r="D89" s="381"/>
      <c r="E89" s="381"/>
      <c r="F89" s="381"/>
      <c r="G89" s="381"/>
      <c r="H89" s="381"/>
    </row>
    <row r="90" spans="2:8" x14ac:dyDescent="0.65">
      <c r="B90" s="381" t="s">
        <v>43</v>
      </c>
      <c r="C90" s="381"/>
      <c r="D90" s="381"/>
      <c r="E90" s="381"/>
      <c r="F90" s="381"/>
      <c r="G90" s="381"/>
      <c r="H90" s="381"/>
    </row>
    <row r="91" spans="2:8" x14ac:dyDescent="0.65">
      <c r="B91" s="381" t="s">
        <v>42</v>
      </c>
      <c r="C91" s="381"/>
      <c r="D91" s="381"/>
      <c r="E91" s="381"/>
      <c r="F91" s="381"/>
      <c r="G91" s="381"/>
      <c r="H91" s="381"/>
    </row>
    <row r="92" spans="2:8" x14ac:dyDescent="0.65">
      <c r="B92" s="381"/>
      <c r="C92" s="381"/>
      <c r="D92" s="381"/>
      <c r="E92" s="381"/>
      <c r="F92" s="381"/>
      <c r="G92" s="381"/>
      <c r="H92" s="381"/>
    </row>
    <row r="93" spans="2:8" x14ac:dyDescent="0.65">
      <c r="B93" s="382" t="s">
        <v>824</v>
      </c>
      <c r="C93" s="382"/>
      <c r="D93" s="382"/>
      <c r="E93" s="382"/>
      <c r="F93" s="382"/>
      <c r="G93" s="382"/>
      <c r="H93" s="382"/>
    </row>
    <row r="94" spans="2:8" x14ac:dyDescent="0.65">
      <c r="B94" s="383" t="s">
        <v>53</v>
      </c>
      <c r="C94" s="382"/>
      <c r="D94" s="382"/>
      <c r="E94" s="382"/>
      <c r="F94" s="382"/>
      <c r="G94" s="382"/>
      <c r="H94" s="382"/>
    </row>
    <row r="95" spans="2:8" x14ac:dyDescent="0.65">
      <c r="B95" s="381"/>
      <c r="C95" s="381"/>
      <c r="D95" s="381"/>
      <c r="E95" s="381"/>
      <c r="F95" s="381"/>
      <c r="G95" s="381"/>
      <c r="H95" s="381"/>
    </row>
    <row r="96" spans="2:8" ht="20.45" thickBot="1" x14ac:dyDescent="0.7">
      <c r="B96" s="384" t="s">
        <v>52</v>
      </c>
      <c r="C96" s="385"/>
      <c r="D96" s="385" t="s">
        <v>806</v>
      </c>
      <c r="E96" s="385" t="s">
        <v>807</v>
      </c>
      <c r="F96" s="385" t="s">
        <v>808</v>
      </c>
      <c r="G96" s="385" t="s">
        <v>809</v>
      </c>
      <c r="H96" s="385" t="s">
        <v>810</v>
      </c>
    </row>
    <row r="97" spans="2:8" x14ac:dyDescent="0.65">
      <c r="B97" s="386" t="s">
        <v>811</v>
      </c>
      <c r="C97" s="387"/>
      <c r="D97" s="387" t="s">
        <v>825</v>
      </c>
      <c r="E97" s="387" t="s">
        <v>813</v>
      </c>
      <c r="F97" s="387" t="s">
        <v>826</v>
      </c>
      <c r="G97" s="387" t="s">
        <v>827</v>
      </c>
      <c r="H97" s="387" t="s">
        <v>828</v>
      </c>
    </row>
    <row r="98" spans="2:8" x14ac:dyDescent="0.65">
      <c r="B98" s="388"/>
      <c r="C98" s="389"/>
      <c r="D98" s="389"/>
      <c r="E98" s="389"/>
      <c r="F98" s="389"/>
      <c r="G98" s="389"/>
      <c r="H98" s="389"/>
    </row>
    <row r="99" spans="2:8" x14ac:dyDescent="0.65">
      <c r="B99" s="390" t="s">
        <v>3</v>
      </c>
      <c r="C99" s="391"/>
      <c r="D99" s="391">
        <v>130867017</v>
      </c>
      <c r="E99" s="391">
        <v>179720032</v>
      </c>
      <c r="F99" s="391">
        <v>367994198</v>
      </c>
      <c r="G99" s="391">
        <v>561728170</v>
      </c>
      <c r="H99" s="391">
        <v>723024323</v>
      </c>
    </row>
    <row r="100" spans="2:8" x14ac:dyDescent="0.65">
      <c r="B100" s="388" t="s">
        <v>40</v>
      </c>
      <c r="C100" s="389"/>
      <c r="D100" s="389">
        <v>-119356875</v>
      </c>
      <c r="E100" s="389">
        <v>-163861176</v>
      </c>
      <c r="F100" s="389">
        <v>-330266310</v>
      </c>
      <c r="G100" s="389">
        <v>-522306233</v>
      </c>
      <c r="H100" s="389">
        <v>-636726560</v>
      </c>
    </row>
    <row r="101" spans="2:8" x14ac:dyDescent="0.65">
      <c r="B101" s="392" t="s">
        <v>54</v>
      </c>
      <c r="C101" s="393"/>
      <c r="D101" s="393">
        <v>11510142</v>
      </c>
      <c r="E101" s="393">
        <v>15858856</v>
      </c>
      <c r="F101" s="393">
        <v>37727888</v>
      </c>
      <c r="G101" s="393">
        <v>39421937</v>
      </c>
      <c r="H101" s="393">
        <v>86297763</v>
      </c>
    </row>
    <row r="102" spans="2:8" x14ac:dyDescent="0.65">
      <c r="B102" s="388" t="s">
        <v>55</v>
      </c>
      <c r="C102" s="389"/>
      <c r="D102" s="389">
        <v>-1622330</v>
      </c>
      <c r="E102" s="389">
        <v>-1999283</v>
      </c>
      <c r="F102" s="389">
        <v>-4308706</v>
      </c>
      <c r="G102" s="389">
        <v>-3710951</v>
      </c>
      <c r="H102" s="389">
        <v>-9900334</v>
      </c>
    </row>
    <row r="103" spans="2:8" x14ac:dyDescent="0.65">
      <c r="B103" s="390" t="s">
        <v>804</v>
      </c>
      <c r="C103" s="391"/>
      <c r="D103" s="391" t="s">
        <v>23</v>
      </c>
      <c r="E103" s="391" t="s">
        <v>23</v>
      </c>
      <c r="F103" s="391">
        <v>0</v>
      </c>
      <c r="G103" s="391">
        <v>0</v>
      </c>
      <c r="H103" s="391">
        <v>0</v>
      </c>
    </row>
    <row r="104" spans="2:8" x14ac:dyDescent="0.65">
      <c r="B104" s="388" t="s">
        <v>56</v>
      </c>
      <c r="C104" s="389"/>
      <c r="D104" s="389">
        <v>497890</v>
      </c>
      <c r="E104" s="389">
        <v>513837</v>
      </c>
      <c r="F104" s="389">
        <v>3808499</v>
      </c>
      <c r="G104" s="389">
        <v>-8363694</v>
      </c>
      <c r="H104" s="389">
        <v>28358034</v>
      </c>
    </row>
    <row r="105" spans="2:8" x14ac:dyDescent="0.65">
      <c r="B105" s="392" t="s">
        <v>57</v>
      </c>
      <c r="C105" s="393"/>
      <c r="D105" s="393">
        <v>10385702</v>
      </c>
      <c r="E105" s="393">
        <v>14373410</v>
      </c>
      <c r="F105" s="393">
        <v>37227681</v>
      </c>
      <c r="G105" s="393">
        <v>27347292</v>
      </c>
      <c r="H105" s="393">
        <v>104755463</v>
      </c>
    </row>
    <row r="106" spans="2:8" x14ac:dyDescent="0.65">
      <c r="B106" s="388" t="s">
        <v>58</v>
      </c>
      <c r="C106" s="389"/>
      <c r="D106" s="389">
        <v>-110443</v>
      </c>
      <c r="E106" s="389">
        <v>-12835</v>
      </c>
      <c r="F106" s="389">
        <v>-63924</v>
      </c>
      <c r="G106" s="389">
        <v>-91136</v>
      </c>
      <c r="H106" s="389">
        <v>0</v>
      </c>
    </row>
    <row r="107" spans="2:8" x14ac:dyDescent="0.65">
      <c r="B107" s="390" t="s">
        <v>59</v>
      </c>
      <c r="C107" s="391"/>
      <c r="D107" s="391">
        <v>1019257</v>
      </c>
      <c r="E107" s="391">
        <v>1346850</v>
      </c>
      <c r="F107" s="391">
        <v>3506314</v>
      </c>
      <c r="G107" s="391">
        <v>11510892</v>
      </c>
      <c r="H107" s="391">
        <v>17931000</v>
      </c>
    </row>
    <row r="108" spans="2:8" x14ac:dyDescent="0.65">
      <c r="B108" s="394" t="s">
        <v>60</v>
      </c>
      <c r="C108" s="395"/>
      <c r="D108" s="395">
        <v>11294516</v>
      </c>
      <c r="E108" s="395">
        <v>15707425</v>
      </c>
      <c r="F108" s="395">
        <v>40670071</v>
      </c>
      <c r="G108" s="395">
        <v>38767048</v>
      </c>
      <c r="H108" s="395">
        <v>122686463</v>
      </c>
    </row>
    <row r="109" spans="2:8" x14ac:dyDescent="0.65">
      <c r="B109" s="390" t="s">
        <v>61</v>
      </c>
      <c r="C109" s="391"/>
      <c r="D109" s="391">
        <v>-2016505</v>
      </c>
      <c r="E109" s="391">
        <v>-2373452</v>
      </c>
      <c r="F109" s="391">
        <v>-5298642</v>
      </c>
      <c r="G109" s="391">
        <v>-6011782</v>
      </c>
      <c r="H109" s="391">
        <v>-11892734</v>
      </c>
    </row>
    <row r="110" spans="2:8" x14ac:dyDescent="0.65">
      <c r="B110" s="394" t="s">
        <v>62</v>
      </c>
      <c r="C110" s="395"/>
      <c r="D110" s="395">
        <v>9278011</v>
      </c>
      <c r="E110" s="395">
        <v>13333973</v>
      </c>
      <c r="F110" s="395">
        <v>35371429</v>
      </c>
      <c r="G110" s="395">
        <v>32755266</v>
      </c>
      <c r="H110" s="395">
        <v>110793729</v>
      </c>
    </row>
    <row r="111" spans="2:8" x14ac:dyDescent="0.65">
      <c r="B111" s="390" t="s">
        <v>63</v>
      </c>
      <c r="C111" s="391"/>
      <c r="D111" s="391">
        <v>0</v>
      </c>
      <c r="E111" s="391">
        <v>0</v>
      </c>
      <c r="F111" s="391">
        <v>0</v>
      </c>
      <c r="G111" s="391">
        <v>0</v>
      </c>
      <c r="H111" s="391">
        <v>0</v>
      </c>
    </row>
    <row r="112" spans="2:8" x14ac:dyDescent="0.65">
      <c r="B112" s="394" t="s">
        <v>64</v>
      </c>
      <c r="C112" s="395"/>
      <c r="D112" s="395">
        <v>9278011</v>
      </c>
      <c r="E112" s="395">
        <v>13333973</v>
      </c>
      <c r="F112" s="395">
        <v>35371429</v>
      </c>
      <c r="G112" s="395">
        <v>32755266</v>
      </c>
      <c r="H112" s="395">
        <v>110793729</v>
      </c>
    </row>
    <row r="113" spans="2:8" x14ac:dyDescent="0.65">
      <c r="B113" s="390" t="s">
        <v>65</v>
      </c>
      <c r="C113" s="391"/>
      <c r="D113" s="391">
        <v>580</v>
      </c>
      <c r="E113" s="391">
        <v>556</v>
      </c>
      <c r="F113" s="391">
        <v>804</v>
      </c>
      <c r="G113" s="391">
        <v>437</v>
      </c>
      <c r="H113" s="391">
        <v>652</v>
      </c>
    </row>
    <row r="114" spans="2:8" x14ac:dyDescent="0.65">
      <c r="B114" s="388" t="s">
        <v>66</v>
      </c>
      <c r="C114" s="389"/>
      <c r="D114" s="389">
        <v>16000000</v>
      </c>
      <c r="E114" s="389">
        <v>24000000</v>
      </c>
      <c r="F114" s="389">
        <v>44000000</v>
      </c>
      <c r="G114" s="389">
        <v>75000000</v>
      </c>
      <c r="H114" s="389">
        <v>170000000</v>
      </c>
    </row>
    <row r="115" spans="2:8" x14ac:dyDescent="0.65">
      <c r="B115" s="390" t="s">
        <v>67</v>
      </c>
      <c r="C115" s="391"/>
      <c r="D115" s="391">
        <v>55</v>
      </c>
      <c r="E115" s="391">
        <v>78</v>
      </c>
      <c r="F115" s="391">
        <v>208</v>
      </c>
      <c r="G115" s="391">
        <v>193</v>
      </c>
      <c r="H115" s="391">
        <v>652</v>
      </c>
    </row>
    <row r="116" spans="2:8" x14ac:dyDescent="0.65">
      <c r="B116" s="579" t="s">
        <v>817</v>
      </c>
      <c r="C116" s="579"/>
      <c r="D116" s="381">
        <f>-D109/D108</f>
        <v>0.17853841634294024</v>
      </c>
      <c r="E116" s="381">
        <f>-E109/E108</f>
        <v>0.15110382510182285</v>
      </c>
      <c r="F116" s="381">
        <f>-F109/F108</f>
        <v>0.13028356896647661</v>
      </c>
      <c r="G116" s="381">
        <f>-G109/G108</f>
        <v>0.15507453649811045</v>
      </c>
      <c r="H116" s="381">
        <f>-H109/H108</f>
        <v>9.6935992033611723E-2</v>
      </c>
    </row>
    <row r="119" spans="2:8" x14ac:dyDescent="0.65">
      <c r="B119" s="381"/>
      <c r="C119" s="381"/>
      <c r="D119" s="381"/>
      <c r="E119" s="381"/>
      <c r="F119" s="381"/>
      <c r="G119" s="381"/>
      <c r="H119" s="381"/>
    </row>
    <row r="120" spans="2:8" x14ac:dyDescent="0.65">
      <c r="B120" s="381" t="s">
        <v>43</v>
      </c>
      <c r="C120" s="381"/>
      <c r="D120" s="381"/>
      <c r="E120" s="381"/>
      <c r="F120" s="381"/>
      <c r="G120" s="381"/>
      <c r="H120" s="381"/>
    </row>
    <row r="121" spans="2:8" x14ac:dyDescent="0.65">
      <c r="B121" s="381" t="s">
        <v>42</v>
      </c>
      <c r="C121" s="381"/>
      <c r="D121" s="381"/>
      <c r="E121" s="381"/>
      <c r="F121" s="381"/>
      <c r="G121" s="381"/>
      <c r="H121" s="381"/>
    </row>
    <row r="122" spans="2:8" x14ac:dyDescent="0.65">
      <c r="B122" s="381"/>
      <c r="C122" s="381"/>
      <c r="D122" s="381"/>
      <c r="E122" s="381"/>
      <c r="F122" s="381"/>
      <c r="G122" s="381"/>
      <c r="H122" s="381"/>
    </row>
    <row r="123" spans="2:8" x14ac:dyDescent="0.65">
      <c r="B123" s="382" t="s">
        <v>829</v>
      </c>
      <c r="C123" s="382"/>
      <c r="D123" s="382"/>
      <c r="E123" s="382"/>
      <c r="F123" s="382"/>
      <c r="G123" s="382"/>
      <c r="H123" s="382"/>
    </row>
    <row r="124" spans="2:8" x14ac:dyDescent="0.65">
      <c r="B124" s="383" t="s">
        <v>53</v>
      </c>
      <c r="C124" s="382"/>
      <c r="D124" s="382"/>
      <c r="E124" s="382"/>
      <c r="F124" s="382"/>
      <c r="G124" s="382"/>
      <c r="H124" s="382"/>
    </row>
    <row r="125" spans="2:8" x14ac:dyDescent="0.65">
      <c r="B125" s="381"/>
      <c r="C125" s="381"/>
      <c r="D125" s="381"/>
      <c r="E125" s="381"/>
      <c r="F125" s="381"/>
      <c r="G125" s="381"/>
      <c r="H125" s="381"/>
    </row>
    <row r="126" spans="2:8" ht="20.45" thickBot="1" x14ac:dyDescent="0.7">
      <c r="B126" s="384" t="s">
        <v>52</v>
      </c>
      <c r="C126" s="385"/>
      <c r="D126" s="385" t="s">
        <v>806</v>
      </c>
      <c r="E126" s="385" t="s">
        <v>807</v>
      </c>
      <c r="F126" s="385" t="s">
        <v>808</v>
      </c>
      <c r="G126" s="385" t="s">
        <v>809</v>
      </c>
      <c r="H126" s="385" t="s">
        <v>810</v>
      </c>
    </row>
    <row r="127" spans="2:8" x14ac:dyDescent="0.65">
      <c r="B127" s="386" t="s">
        <v>811</v>
      </c>
      <c r="C127" s="387"/>
      <c r="D127" s="387" t="s">
        <v>825</v>
      </c>
      <c r="E127" s="387" t="s">
        <v>830</v>
      </c>
      <c r="F127" s="387" t="s">
        <v>831</v>
      </c>
      <c r="G127" s="387" t="s">
        <v>832</v>
      </c>
      <c r="H127" s="387" t="s">
        <v>833</v>
      </c>
    </row>
    <row r="128" spans="2:8" x14ac:dyDescent="0.65">
      <c r="B128" s="388"/>
      <c r="C128" s="389"/>
      <c r="D128" s="389"/>
      <c r="E128" s="389"/>
      <c r="F128" s="389"/>
      <c r="G128" s="389"/>
      <c r="H128" s="389"/>
    </row>
    <row r="129" spans="2:8" x14ac:dyDescent="0.65">
      <c r="B129" s="390" t="s">
        <v>3</v>
      </c>
      <c r="C129" s="391"/>
      <c r="D129" s="391">
        <v>29013288</v>
      </c>
      <c r="E129" s="391">
        <v>39385591</v>
      </c>
      <c r="F129" s="391">
        <v>68775268</v>
      </c>
      <c r="G129" s="391">
        <v>113386766</v>
      </c>
      <c r="H129" s="391">
        <v>139276849</v>
      </c>
    </row>
    <row r="130" spans="2:8" x14ac:dyDescent="0.65">
      <c r="B130" s="388" t="s">
        <v>40</v>
      </c>
      <c r="C130" s="389"/>
      <c r="D130" s="389">
        <v>-27272830</v>
      </c>
      <c r="E130" s="389">
        <v>-36297135</v>
      </c>
      <c r="F130" s="389">
        <v>-64369700</v>
      </c>
      <c r="G130" s="389">
        <v>-109907966</v>
      </c>
      <c r="H130" s="389">
        <v>-115480712</v>
      </c>
    </row>
    <row r="131" spans="2:8" x14ac:dyDescent="0.65">
      <c r="B131" s="392" t="s">
        <v>54</v>
      </c>
      <c r="C131" s="393"/>
      <c r="D131" s="393">
        <v>1740458</v>
      </c>
      <c r="E131" s="393">
        <v>3088456</v>
      </c>
      <c r="F131" s="393">
        <v>4405568</v>
      </c>
      <c r="G131" s="393">
        <v>3478800</v>
      </c>
      <c r="H131" s="393">
        <v>23796137</v>
      </c>
    </row>
    <row r="132" spans="2:8" x14ac:dyDescent="0.65">
      <c r="B132" s="388" t="s">
        <v>55</v>
      </c>
      <c r="C132" s="389"/>
      <c r="D132" s="389">
        <v>-533369</v>
      </c>
      <c r="E132" s="389">
        <v>-677946</v>
      </c>
      <c r="F132" s="389">
        <v>-627298</v>
      </c>
      <c r="G132" s="389">
        <v>-759080</v>
      </c>
      <c r="H132" s="389">
        <v>-1009498</v>
      </c>
    </row>
    <row r="133" spans="2:8" x14ac:dyDescent="0.65">
      <c r="B133" s="390" t="s">
        <v>804</v>
      </c>
      <c r="C133" s="391"/>
      <c r="D133" s="391" t="s">
        <v>23</v>
      </c>
      <c r="E133" s="391" t="s">
        <v>23</v>
      </c>
      <c r="F133" s="391">
        <v>0</v>
      </c>
      <c r="G133" s="391">
        <v>0</v>
      </c>
      <c r="H133" s="391">
        <v>0</v>
      </c>
    </row>
    <row r="134" spans="2:8" x14ac:dyDescent="0.65">
      <c r="B134" s="388" t="s">
        <v>56</v>
      </c>
      <c r="C134" s="389"/>
      <c r="D134" s="389">
        <v>0</v>
      </c>
      <c r="E134" s="389">
        <v>-161076</v>
      </c>
      <c r="F134" s="389">
        <v>0</v>
      </c>
      <c r="G134" s="389">
        <v>607277</v>
      </c>
      <c r="H134" s="389">
        <v>1518153</v>
      </c>
    </row>
    <row r="135" spans="2:8" x14ac:dyDescent="0.65">
      <c r="B135" s="392" t="s">
        <v>57</v>
      </c>
      <c r="C135" s="393"/>
      <c r="D135" s="393">
        <v>1207089</v>
      </c>
      <c r="E135" s="393">
        <v>2249434</v>
      </c>
      <c r="F135" s="393">
        <v>3778270</v>
      </c>
      <c r="G135" s="393">
        <v>3326997</v>
      </c>
      <c r="H135" s="393">
        <v>24304792</v>
      </c>
    </row>
    <row r="136" spans="2:8" x14ac:dyDescent="0.65">
      <c r="B136" s="388" t="s">
        <v>58</v>
      </c>
      <c r="C136" s="389"/>
      <c r="D136" s="389">
        <v>-80367</v>
      </c>
      <c r="E136" s="389">
        <v>-319559</v>
      </c>
      <c r="F136" s="389">
        <v>-319330</v>
      </c>
      <c r="G136" s="389">
        <v>-462869</v>
      </c>
      <c r="H136" s="389">
        <v>-484121</v>
      </c>
    </row>
    <row r="137" spans="2:8" x14ac:dyDescent="0.65">
      <c r="B137" s="390" t="s">
        <v>59</v>
      </c>
      <c r="C137" s="391"/>
      <c r="D137" s="391">
        <v>-9814</v>
      </c>
      <c r="E137" s="391">
        <v>-264078</v>
      </c>
      <c r="F137" s="391">
        <v>189695</v>
      </c>
      <c r="G137" s="391">
        <v>602282</v>
      </c>
      <c r="H137" s="391">
        <v>71646</v>
      </c>
    </row>
    <row r="138" spans="2:8" x14ac:dyDescent="0.65">
      <c r="B138" s="394" t="s">
        <v>60</v>
      </c>
      <c r="C138" s="395"/>
      <c r="D138" s="395">
        <v>1116908</v>
      </c>
      <c r="E138" s="395">
        <v>1665797</v>
      </c>
      <c r="F138" s="395">
        <v>3648635</v>
      </c>
      <c r="G138" s="395">
        <v>3466410</v>
      </c>
      <c r="H138" s="395">
        <v>23892317</v>
      </c>
    </row>
    <row r="139" spans="2:8" x14ac:dyDescent="0.65">
      <c r="B139" s="390" t="s">
        <v>61</v>
      </c>
      <c r="C139" s="391"/>
      <c r="D139" s="391">
        <v>-10135</v>
      </c>
      <c r="E139" s="391">
        <v>-260067</v>
      </c>
      <c r="F139" s="391">
        <v>-618174</v>
      </c>
      <c r="G139" s="391">
        <v>-675705</v>
      </c>
      <c r="H139" s="391">
        <v>-3344763</v>
      </c>
    </row>
    <row r="140" spans="2:8" x14ac:dyDescent="0.65">
      <c r="B140" s="394" t="s">
        <v>62</v>
      </c>
      <c r="C140" s="395"/>
      <c r="D140" s="395">
        <v>1106773</v>
      </c>
      <c r="E140" s="395">
        <v>1405730</v>
      </c>
      <c r="F140" s="395">
        <v>3030461</v>
      </c>
      <c r="G140" s="395">
        <v>2790705</v>
      </c>
      <c r="H140" s="395">
        <v>20547554</v>
      </c>
    </row>
    <row r="141" spans="2:8" x14ac:dyDescent="0.65">
      <c r="B141" s="390" t="s">
        <v>63</v>
      </c>
      <c r="C141" s="391"/>
      <c r="D141" s="391">
        <v>0</v>
      </c>
      <c r="E141" s="391">
        <v>0</v>
      </c>
      <c r="F141" s="391">
        <v>0</v>
      </c>
      <c r="G141" s="391">
        <v>0</v>
      </c>
      <c r="H141" s="391">
        <v>0</v>
      </c>
    </row>
    <row r="142" spans="2:8" x14ac:dyDescent="0.65">
      <c r="B142" s="394" t="s">
        <v>64</v>
      </c>
      <c r="C142" s="395"/>
      <c r="D142" s="395">
        <v>1106773</v>
      </c>
      <c r="E142" s="395">
        <v>1405730</v>
      </c>
      <c r="F142" s="395">
        <v>3030461</v>
      </c>
      <c r="G142" s="395">
        <v>2790705</v>
      </c>
      <c r="H142" s="395">
        <v>20547554</v>
      </c>
    </row>
    <row r="143" spans="2:8" x14ac:dyDescent="0.65">
      <c r="B143" s="390" t="s">
        <v>65</v>
      </c>
      <c r="C143" s="391"/>
      <c r="D143" s="391">
        <v>968</v>
      </c>
      <c r="E143" s="391">
        <v>1229</v>
      </c>
      <c r="F143" s="391">
        <v>2650</v>
      </c>
      <c r="G143" s="391">
        <v>2441</v>
      </c>
      <c r="H143" s="391">
        <v>17970</v>
      </c>
    </row>
    <row r="144" spans="2:8" x14ac:dyDescent="0.65">
      <c r="B144" s="388" t="s">
        <v>66</v>
      </c>
      <c r="C144" s="389"/>
      <c r="D144" s="389">
        <v>1143422</v>
      </c>
      <c r="E144" s="389">
        <v>1143422</v>
      </c>
      <c r="F144" s="389">
        <v>1143422</v>
      </c>
      <c r="G144" s="389">
        <v>1143422</v>
      </c>
      <c r="H144" s="389">
        <v>1143422</v>
      </c>
    </row>
    <row r="145" spans="2:8" x14ac:dyDescent="0.65">
      <c r="B145" s="390" t="s">
        <v>67</v>
      </c>
      <c r="C145" s="391"/>
      <c r="D145" s="391">
        <v>968</v>
      </c>
      <c r="E145" s="391">
        <v>1229</v>
      </c>
      <c r="F145" s="391">
        <v>2650</v>
      </c>
      <c r="G145" s="391">
        <v>2441</v>
      </c>
      <c r="H145" s="391">
        <v>17970</v>
      </c>
    </row>
    <row r="146" spans="2:8" x14ac:dyDescent="0.65">
      <c r="B146" s="381"/>
      <c r="C146" s="381"/>
      <c r="D146" s="381"/>
      <c r="E146" s="381"/>
      <c r="F146" s="381"/>
      <c r="G146" s="381"/>
      <c r="H146" s="381"/>
    </row>
    <row r="147" spans="2:8" x14ac:dyDescent="0.65">
      <c r="B147" s="580" t="s">
        <v>834</v>
      </c>
      <c r="C147" s="580"/>
      <c r="D147" s="396">
        <f>-D139/D138</f>
        <v>9.0741583013104025E-3</v>
      </c>
      <c r="E147" s="396">
        <f>-E139/E138</f>
        <v>0.15612166428442362</v>
      </c>
      <c r="F147" s="396">
        <f>-F139/F138</f>
        <v>0.16942610044578316</v>
      </c>
      <c r="G147" s="396">
        <f>-G139/G138</f>
        <v>0.19492933611430846</v>
      </c>
      <c r="H147" s="396">
        <f>-H139/H138</f>
        <v>0.13999324552742207</v>
      </c>
    </row>
  </sheetData>
  <mergeCells count="4">
    <mergeCell ref="B56:C56"/>
    <mergeCell ref="B87:C87"/>
    <mergeCell ref="B116:C116"/>
    <mergeCell ref="B147:C1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314"/>
  <sheetViews>
    <sheetView zoomScale="70" zoomScaleNormal="70" workbookViewId="0">
      <selection activeCell="B257" sqref="B257:I314"/>
    </sheetView>
  </sheetViews>
  <sheetFormatPr defaultRowHeight="16.7" x14ac:dyDescent="0.55000000000000004"/>
  <cols>
    <col min="1" max="1" width="8.7265625" style="103"/>
    <col min="2" max="2" width="55.6328125" style="103" bestFit="1" customWidth="1"/>
    <col min="3" max="3" width="8.7265625" style="103"/>
    <col min="4" max="9" width="22" style="103" bestFit="1" customWidth="1"/>
    <col min="10" max="10" width="24.26953125" style="103" bestFit="1" customWidth="1"/>
    <col min="11" max="16384" width="8.7265625" style="103"/>
  </cols>
  <sheetData>
    <row r="4" spans="2:17" x14ac:dyDescent="0.55000000000000004">
      <c r="B4" s="2"/>
      <c r="C4" s="2"/>
      <c r="D4" s="2"/>
      <c r="E4" s="2"/>
      <c r="F4" s="2"/>
      <c r="G4" s="2"/>
      <c r="H4" s="2"/>
      <c r="I4" s="1"/>
      <c r="J4" s="1"/>
      <c r="K4" s="1"/>
      <c r="L4" s="1"/>
      <c r="M4" s="1"/>
      <c r="N4" s="1"/>
      <c r="O4" s="1"/>
      <c r="P4" s="1"/>
      <c r="Q4" s="1"/>
    </row>
    <row r="5" spans="2:17" ht="17.75" x14ac:dyDescent="0.55000000000000004">
      <c r="B5" s="3" t="s">
        <v>43</v>
      </c>
      <c r="C5" s="2"/>
      <c r="D5" s="2"/>
      <c r="E5" s="2"/>
      <c r="F5" s="2"/>
      <c r="G5" s="2"/>
      <c r="H5" s="2"/>
      <c r="I5" s="1"/>
      <c r="J5" s="1"/>
      <c r="K5" s="1"/>
      <c r="L5" s="1"/>
      <c r="M5" s="1"/>
      <c r="N5" s="1"/>
      <c r="O5" s="1"/>
      <c r="P5" s="1"/>
      <c r="Q5" s="1"/>
    </row>
    <row r="6" spans="2:17" x14ac:dyDescent="0.55000000000000004">
      <c r="B6" s="2" t="s">
        <v>42</v>
      </c>
      <c r="C6" s="2"/>
      <c r="D6" s="2"/>
      <c r="E6" s="2"/>
      <c r="F6" s="2"/>
      <c r="G6" s="2"/>
      <c r="H6" s="2"/>
      <c r="I6" s="1"/>
      <c r="J6" s="1"/>
      <c r="K6" s="1"/>
      <c r="L6" s="1"/>
      <c r="M6" s="1"/>
      <c r="N6" s="1"/>
      <c r="O6" s="1"/>
      <c r="P6" s="1"/>
      <c r="Q6" s="1"/>
    </row>
    <row r="7" spans="2:17" x14ac:dyDescent="0.55000000000000004">
      <c r="B7" s="2"/>
      <c r="C7" s="2"/>
      <c r="D7" s="2"/>
      <c r="E7" s="2"/>
      <c r="F7" s="2"/>
      <c r="G7" s="2"/>
      <c r="H7" s="2"/>
      <c r="I7" s="1"/>
      <c r="J7" s="1"/>
      <c r="K7" s="1"/>
      <c r="L7" s="1"/>
      <c r="M7" s="1"/>
      <c r="N7" s="1"/>
      <c r="O7" s="1"/>
      <c r="P7" s="1"/>
      <c r="Q7" s="1"/>
    </row>
    <row r="8" spans="2:17" ht="41.4" x14ac:dyDescent="0.85">
      <c r="B8" s="355" t="s">
        <v>41</v>
      </c>
      <c r="C8" s="355"/>
      <c r="D8" s="355"/>
      <c r="E8" s="355"/>
      <c r="F8" s="355"/>
      <c r="G8" s="355"/>
      <c r="H8" s="355"/>
      <c r="I8" s="1"/>
      <c r="J8" s="1"/>
      <c r="K8" s="1"/>
      <c r="L8" s="1"/>
      <c r="M8" s="1"/>
      <c r="N8" s="1"/>
      <c r="O8" s="1"/>
      <c r="P8" s="1"/>
      <c r="Q8" s="1"/>
    </row>
    <row r="9" spans="2:17" ht="41.4" x14ac:dyDescent="0.85">
      <c r="B9" s="356" t="s">
        <v>835</v>
      </c>
      <c r="C9" s="355"/>
      <c r="D9" s="355"/>
      <c r="E9" s="355"/>
      <c r="F9" s="355"/>
      <c r="G9" s="355"/>
      <c r="H9" s="355"/>
      <c r="I9" s="1"/>
      <c r="J9" s="1"/>
      <c r="K9" s="1"/>
      <c r="L9" s="1"/>
      <c r="M9" s="1"/>
      <c r="N9" s="1"/>
      <c r="O9" s="1"/>
      <c r="P9" s="1"/>
      <c r="Q9" s="1"/>
    </row>
    <row r="10" spans="2:17" x14ac:dyDescent="0.55000000000000004">
      <c r="B10" s="2"/>
      <c r="C10" s="2"/>
      <c r="D10" s="2"/>
      <c r="E10" s="2"/>
      <c r="F10" s="2"/>
      <c r="G10" s="2"/>
      <c r="H10" s="2"/>
      <c r="I10" s="1"/>
      <c r="J10" s="1"/>
      <c r="K10" s="1"/>
      <c r="L10" s="1"/>
      <c r="M10" s="1"/>
      <c r="N10" s="1"/>
      <c r="O10" s="1"/>
      <c r="P10" s="1"/>
      <c r="Q10" s="1"/>
    </row>
    <row r="11" spans="2:17" ht="17.2" thickBot="1" x14ac:dyDescent="0.6">
      <c r="B11" s="357" t="s">
        <v>52</v>
      </c>
      <c r="C11" s="358"/>
      <c r="D11" s="397">
        <v>1395</v>
      </c>
      <c r="E11" s="397">
        <v>1396</v>
      </c>
      <c r="F11" s="397">
        <v>1397</v>
      </c>
      <c r="G11" s="397">
        <v>1398</v>
      </c>
      <c r="H11" s="397">
        <v>1399</v>
      </c>
      <c r="I11" s="1"/>
      <c r="J11" s="1"/>
      <c r="K11" s="1"/>
      <c r="L11" s="1"/>
      <c r="M11" s="1"/>
      <c r="N11" s="1"/>
      <c r="O11" s="1"/>
      <c r="P11" s="1"/>
      <c r="Q11" s="1"/>
    </row>
    <row r="12" spans="2:17" x14ac:dyDescent="0.55000000000000004">
      <c r="B12" s="361"/>
      <c r="C12" s="362"/>
      <c r="D12" s="362"/>
      <c r="E12" s="362"/>
      <c r="F12" s="362"/>
      <c r="G12" s="362"/>
      <c r="H12" s="362"/>
      <c r="I12" s="1"/>
      <c r="J12" s="1"/>
      <c r="K12" s="1"/>
      <c r="L12" s="1"/>
      <c r="M12" s="1"/>
      <c r="N12" s="1"/>
      <c r="O12" s="1"/>
      <c r="P12" s="1"/>
      <c r="Q12" s="1"/>
    </row>
    <row r="13" spans="2:17" x14ac:dyDescent="0.55000000000000004">
      <c r="B13" s="398" t="s">
        <v>836</v>
      </c>
      <c r="C13" s="399"/>
      <c r="D13" s="399"/>
      <c r="E13" s="399"/>
      <c r="F13" s="399"/>
      <c r="G13" s="399"/>
      <c r="H13" s="399"/>
      <c r="I13" s="1"/>
      <c r="J13" s="400" t="s">
        <v>52</v>
      </c>
      <c r="K13" s="401">
        <v>1395</v>
      </c>
      <c r="L13" s="401">
        <v>1396</v>
      </c>
      <c r="M13" s="401">
        <v>1397</v>
      </c>
      <c r="N13" s="401">
        <v>1398</v>
      </c>
      <c r="O13" s="401">
        <v>1399</v>
      </c>
      <c r="P13" s="1"/>
      <c r="Q13" s="1"/>
    </row>
    <row r="14" spans="2:17" x14ac:dyDescent="0.55000000000000004">
      <c r="B14" s="363" t="s">
        <v>837</v>
      </c>
      <c r="C14" s="364"/>
      <c r="D14" s="402">
        <v>1729951</v>
      </c>
      <c r="E14" s="364">
        <v>1628396</v>
      </c>
      <c r="F14" s="364">
        <v>5912042</v>
      </c>
      <c r="G14" s="364">
        <v>8986624</v>
      </c>
      <c r="H14" s="364">
        <v>15793031</v>
      </c>
      <c r="I14" s="1"/>
      <c r="J14" s="403" t="s">
        <v>837</v>
      </c>
      <c r="K14" s="404">
        <f t="shared" ref="K14:O17" si="0">D14/10^7</f>
        <v>0.17299510000000001</v>
      </c>
      <c r="L14" s="404">
        <f t="shared" si="0"/>
        <v>0.1628396</v>
      </c>
      <c r="M14" s="404">
        <f t="shared" si="0"/>
        <v>0.59120419999999996</v>
      </c>
      <c r="N14" s="404">
        <f t="shared" si="0"/>
        <v>0.89866239999999997</v>
      </c>
      <c r="O14" s="404">
        <f t="shared" si="0"/>
        <v>1.5793031</v>
      </c>
      <c r="P14" s="1"/>
      <c r="Q14" s="1"/>
    </row>
    <row r="15" spans="2:17" x14ac:dyDescent="0.55000000000000004">
      <c r="B15" s="361" t="s">
        <v>838</v>
      </c>
      <c r="C15" s="362"/>
      <c r="D15" s="362">
        <v>0</v>
      </c>
      <c r="E15" s="362">
        <v>1690000</v>
      </c>
      <c r="F15" s="362">
        <v>2599993</v>
      </c>
      <c r="G15" s="362">
        <v>5816993</v>
      </c>
      <c r="H15" s="362">
        <v>35286440</v>
      </c>
      <c r="I15" s="1"/>
      <c r="J15" s="403" t="s">
        <v>838</v>
      </c>
      <c r="K15" s="404">
        <f t="shared" si="0"/>
        <v>0</v>
      </c>
      <c r="L15" s="404">
        <f t="shared" si="0"/>
        <v>0.16900000000000001</v>
      </c>
      <c r="M15" s="404">
        <f t="shared" si="0"/>
        <v>0.25999929999999999</v>
      </c>
      <c r="N15" s="404">
        <f t="shared" si="0"/>
        <v>0.58169930000000003</v>
      </c>
      <c r="O15" s="404">
        <f t="shared" si="0"/>
        <v>3.5286439999999999</v>
      </c>
      <c r="P15" s="1"/>
      <c r="Q15" s="1"/>
    </row>
    <row r="16" spans="2:17" x14ac:dyDescent="0.55000000000000004">
      <c r="B16" s="363" t="s">
        <v>839</v>
      </c>
      <c r="C16" s="364"/>
      <c r="D16" s="364">
        <v>30935010</v>
      </c>
      <c r="E16" s="364">
        <v>14624568</v>
      </c>
      <c r="F16" s="364">
        <v>3122266</v>
      </c>
      <c r="G16" s="364">
        <v>13759290</v>
      </c>
      <c r="H16" s="364">
        <v>57962900</v>
      </c>
      <c r="I16" s="1"/>
      <c r="J16" s="403" t="s">
        <v>839</v>
      </c>
      <c r="K16" s="404">
        <f t="shared" si="0"/>
        <v>3.0935009999999998</v>
      </c>
      <c r="L16" s="404">
        <f t="shared" si="0"/>
        <v>1.4624568</v>
      </c>
      <c r="M16" s="404">
        <f t="shared" si="0"/>
        <v>0.31222660000000002</v>
      </c>
      <c r="N16" s="404">
        <f t="shared" si="0"/>
        <v>1.375929</v>
      </c>
      <c r="O16" s="404">
        <f t="shared" si="0"/>
        <v>5.7962899999999999</v>
      </c>
      <c r="P16" s="1"/>
      <c r="Q16" s="1"/>
    </row>
    <row r="17" spans="2:17" x14ac:dyDescent="0.55000000000000004">
      <c r="B17" s="361" t="s">
        <v>840</v>
      </c>
      <c r="C17" s="362"/>
      <c r="D17" s="362">
        <v>13122838</v>
      </c>
      <c r="E17" s="362">
        <v>20087412</v>
      </c>
      <c r="F17" s="362">
        <v>56664716</v>
      </c>
      <c r="G17" s="362">
        <v>59744527</v>
      </c>
      <c r="H17" s="362">
        <v>126511754</v>
      </c>
      <c r="I17" s="1"/>
      <c r="J17" s="403" t="s">
        <v>840</v>
      </c>
      <c r="K17" s="404">
        <f t="shared" si="0"/>
        <v>1.3122837999999999</v>
      </c>
      <c r="L17" s="404">
        <f t="shared" si="0"/>
        <v>2.0087411999999998</v>
      </c>
      <c r="M17" s="404">
        <f t="shared" si="0"/>
        <v>5.6664716000000004</v>
      </c>
      <c r="N17" s="404">
        <f t="shared" si="0"/>
        <v>5.9744526999999996</v>
      </c>
      <c r="O17" s="404">
        <f t="shared" si="0"/>
        <v>12.6511754</v>
      </c>
      <c r="P17" s="1"/>
      <c r="Q17" s="1"/>
    </row>
    <row r="18" spans="2:17" x14ac:dyDescent="0.55000000000000004">
      <c r="B18" s="405" t="s">
        <v>841</v>
      </c>
      <c r="C18" s="406"/>
      <c r="D18" s="406">
        <v>298094</v>
      </c>
      <c r="E18" s="406">
        <v>648202</v>
      </c>
      <c r="F18" s="406">
        <v>479927</v>
      </c>
      <c r="G18" s="406">
        <v>1141434</v>
      </c>
      <c r="H18" s="406">
        <v>1693498</v>
      </c>
      <c r="I18" s="1"/>
      <c r="J18" s="403" t="s">
        <v>842</v>
      </c>
      <c r="K18" s="404">
        <f>D21/10^7</f>
        <v>2.2970578000000001</v>
      </c>
      <c r="L18" s="404">
        <f>E21/10^7</f>
        <v>2.6518663</v>
      </c>
      <c r="M18" s="404">
        <f>F21/10^7</f>
        <v>3.3675527000000001</v>
      </c>
      <c r="N18" s="404">
        <f>G21/10^7</f>
        <v>3.8646563999999999</v>
      </c>
      <c r="O18" s="404">
        <f>H21/10^7</f>
        <v>5.1249232999999998</v>
      </c>
      <c r="P18" s="1"/>
      <c r="Q18" s="1"/>
    </row>
    <row r="19" spans="2:17" x14ac:dyDescent="0.55000000000000004">
      <c r="B19" s="365" t="s">
        <v>843</v>
      </c>
      <c r="C19" s="366"/>
      <c r="D19" s="366">
        <v>46085893</v>
      </c>
      <c r="E19" s="366">
        <v>38678578</v>
      </c>
      <c r="F19" s="366">
        <v>68778944</v>
      </c>
      <c r="G19" s="366">
        <v>89448868</v>
      </c>
      <c r="H19" s="366">
        <v>237247623</v>
      </c>
      <c r="I19" s="1"/>
      <c r="J19" s="407" t="s">
        <v>844</v>
      </c>
      <c r="K19" s="408">
        <f>K20-K14-K15-K16-K17-K18</f>
        <v>4.0134000000000558E-2</v>
      </c>
      <c r="L19" s="408">
        <f>L20-L14-L15-L16-L17-L18</f>
        <v>7.4981600000000537E-2</v>
      </c>
      <c r="M19" s="408">
        <f>M20-M14-M15-M16-M17-M18</f>
        <v>6.9444399999998296E-2</v>
      </c>
      <c r="N19" s="408">
        <f>N20-N14-N15-N16-N17-N18</f>
        <v>0.13741420000000248</v>
      </c>
      <c r="O19" s="408">
        <f>O20-O14-O15-O16-O17-O18</f>
        <v>0.20634359999999941</v>
      </c>
      <c r="P19" s="1"/>
      <c r="Q19" s="1"/>
    </row>
    <row r="20" spans="2:17" x14ac:dyDescent="0.55000000000000004">
      <c r="B20" s="363" t="s">
        <v>845</v>
      </c>
      <c r="C20" s="364"/>
      <c r="D20" s="364">
        <v>35299</v>
      </c>
      <c r="E20" s="364">
        <v>35299</v>
      </c>
      <c r="F20" s="364">
        <v>35299</v>
      </c>
      <c r="G20" s="364">
        <v>20135</v>
      </c>
      <c r="H20" s="364">
        <v>55135</v>
      </c>
      <c r="I20" s="1"/>
      <c r="J20" s="409" t="s">
        <v>846</v>
      </c>
      <c r="K20" s="410">
        <f>D25/10^7</f>
        <v>6.9159717000000001</v>
      </c>
      <c r="L20" s="410">
        <f>E25/10^7</f>
        <v>6.5298854999999998</v>
      </c>
      <c r="M20" s="410">
        <f>F25/10^7</f>
        <v>10.2668988</v>
      </c>
      <c r="N20" s="410">
        <f>G25/10^7</f>
        <v>12.832814000000001</v>
      </c>
      <c r="O20" s="410">
        <f>H25/10^7</f>
        <v>28.886679399999998</v>
      </c>
      <c r="P20" s="1"/>
      <c r="Q20" s="1"/>
    </row>
    <row r="21" spans="2:17" x14ac:dyDescent="0.55000000000000004">
      <c r="B21" s="363" t="s">
        <v>847</v>
      </c>
      <c r="C21" s="364"/>
      <c r="D21" s="364">
        <v>22970578</v>
      </c>
      <c r="E21" s="364">
        <v>26518663</v>
      </c>
      <c r="F21" s="364">
        <v>33675527</v>
      </c>
      <c r="G21" s="364">
        <v>38646564</v>
      </c>
      <c r="H21" s="364">
        <v>51249233</v>
      </c>
      <c r="I21" s="1"/>
      <c r="J21" s="407"/>
      <c r="K21" s="407"/>
      <c r="L21" s="407"/>
      <c r="M21" s="407"/>
      <c r="N21" s="407"/>
      <c r="O21" s="407"/>
      <c r="P21" s="1"/>
      <c r="Q21" s="1"/>
    </row>
    <row r="22" spans="2:17" x14ac:dyDescent="0.55000000000000004">
      <c r="B22" s="361" t="s">
        <v>848</v>
      </c>
      <c r="C22" s="362"/>
      <c r="D22" s="362">
        <v>16227</v>
      </c>
      <c r="E22" s="362">
        <v>16695</v>
      </c>
      <c r="F22" s="362">
        <v>16200</v>
      </c>
      <c r="G22" s="362">
        <v>51898</v>
      </c>
      <c r="H22" s="362">
        <v>51651</v>
      </c>
      <c r="I22" s="1"/>
      <c r="J22" s="403" t="s">
        <v>849</v>
      </c>
      <c r="K22" s="403">
        <f>D27/10^7</f>
        <v>1.7754521999999999</v>
      </c>
      <c r="L22" s="403">
        <f>E27/10^7</f>
        <v>0.93266420000000005</v>
      </c>
      <c r="M22" s="403">
        <f>F27/10^7</f>
        <v>2.9081790000000001</v>
      </c>
      <c r="N22" s="403">
        <f>G27/10^7</f>
        <v>5.6321041000000003</v>
      </c>
      <c r="O22" s="403">
        <f>H27/10^7</f>
        <v>7.7193432</v>
      </c>
      <c r="P22" s="1"/>
      <c r="Q22" s="1"/>
    </row>
    <row r="23" spans="2:17" x14ac:dyDescent="0.55000000000000004">
      <c r="B23" s="361" t="s">
        <v>844</v>
      </c>
      <c r="C23" s="362"/>
      <c r="D23" s="362">
        <v>51720</v>
      </c>
      <c r="E23" s="362">
        <v>49620</v>
      </c>
      <c r="F23" s="362">
        <v>163018</v>
      </c>
      <c r="G23" s="362">
        <v>160675</v>
      </c>
      <c r="H23" s="362">
        <v>263152</v>
      </c>
      <c r="I23" s="1"/>
      <c r="J23" s="403" t="s">
        <v>850</v>
      </c>
      <c r="K23" s="403">
        <f t="shared" ref="K23:O24" si="1">D29/10^7</f>
        <v>0.25919350000000002</v>
      </c>
      <c r="L23" s="403">
        <f t="shared" si="1"/>
        <v>0.23383280000000001</v>
      </c>
      <c r="M23" s="403">
        <f t="shared" si="1"/>
        <v>0.65885119999999997</v>
      </c>
      <c r="N23" s="403">
        <f t="shared" si="1"/>
        <v>0.58037649999999996</v>
      </c>
      <c r="O23" s="403">
        <f t="shared" si="1"/>
        <v>1.6551707</v>
      </c>
      <c r="P23" s="1"/>
      <c r="Q23" s="1"/>
    </row>
    <row r="24" spans="2:17" x14ac:dyDescent="0.55000000000000004">
      <c r="B24" s="365" t="s">
        <v>851</v>
      </c>
      <c r="C24" s="366"/>
      <c r="D24" s="366">
        <v>23073824</v>
      </c>
      <c r="E24" s="366">
        <v>26620277</v>
      </c>
      <c r="F24" s="366">
        <v>33890044</v>
      </c>
      <c r="G24" s="366">
        <v>38879272</v>
      </c>
      <c r="H24" s="366">
        <v>51619171</v>
      </c>
      <c r="I24" s="1"/>
      <c r="J24" s="403" t="s">
        <v>852</v>
      </c>
      <c r="K24" s="403">
        <f t="shared" si="1"/>
        <v>1.6808186000000001</v>
      </c>
      <c r="L24" s="403">
        <f t="shared" si="1"/>
        <v>2.0438168999999999</v>
      </c>
      <c r="M24" s="403">
        <f t="shared" si="1"/>
        <v>0.69490419999999997</v>
      </c>
      <c r="N24" s="403">
        <f t="shared" si="1"/>
        <v>0.36490430000000001</v>
      </c>
      <c r="O24" s="403">
        <f t="shared" si="1"/>
        <v>0.1099879</v>
      </c>
      <c r="P24" s="1"/>
      <c r="Q24" s="1"/>
    </row>
    <row r="25" spans="2:17" x14ac:dyDescent="0.55000000000000004">
      <c r="B25" s="367" t="s">
        <v>846</v>
      </c>
      <c r="C25" s="368"/>
      <c r="D25" s="368">
        <v>69159717</v>
      </c>
      <c r="E25" s="368">
        <v>65298855</v>
      </c>
      <c r="F25" s="368">
        <v>102668988</v>
      </c>
      <c r="G25" s="368">
        <v>128328140</v>
      </c>
      <c r="H25" s="368">
        <v>288866794</v>
      </c>
      <c r="I25" s="1"/>
      <c r="J25" s="407" t="s">
        <v>853</v>
      </c>
      <c r="K25" s="408">
        <f>K26-K24-K23-K22</f>
        <v>0.33598870000000036</v>
      </c>
      <c r="L25" s="408">
        <f>L26-L24-L23-L22</f>
        <v>0.20771849999999992</v>
      </c>
      <c r="M25" s="408">
        <f>M26-M24-M23-M22</f>
        <v>0.26163770000000008</v>
      </c>
      <c r="N25" s="408">
        <f>N26-N24-N23-N22</f>
        <v>0.2200747999999999</v>
      </c>
      <c r="O25" s="408">
        <f>O26-O24-O23-O22</f>
        <v>1.1645442000000008</v>
      </c>
      <c r="P25" s="1"/>
      <c r="Q25" s="1"/>
    </row>
    <row r="26" spans="2:17" x14ac:dyDescent="0.55000000000000004">
      <c r="B26" s="398" t="s">
        <v>854</v>
      </c>
      <c r="C26" s="399"/>
      <c r="D26" s="399"/>
      <c r="E26" s="399"/>
      <c r="F26" s="399"/>
      <c r="G26" s="399"/>
      <c r="H26" s="399"/>
      <c r="I26" s="1"/>
      <c r="J26" s="411" t="s">
        <v>855</v>
      </c>
      <c r="K26" s="412">
        <f>D36/10^7</f>
        <v>4.0514530000000004</v>
      </c>
      <c r="L26" s="412">
        <f>E36/10^7</f>
        <v>3.4180324</v>
      </c>
      <c r="M26" s="412">
        <f>F36/10^7</f>
        <v>4.5235721</v>
      </c>
      <c r="N26" s="412">
        <f>G36/10^7</f>
        <v>6.7974597000000001</v>
      </c>
      <c r="O26" s="412">
        <f>H36/10^7</f>
        <v>10.649046</v>
      </c>
      <c r="P26" s="1"/>
      <c r="Q26" s="1"/>
    </row>
    <row r="27" spans="2:17" x14ac:dyDescent="0.55000000000000004">
      <c r="B27" s="363" t="s">
        <v>849</v>
      </c>
      <c r="C27" s="364"/>
      <c r="D27" s="364">
        <v>17754522</v>
      </c>
      <c r="E27" s="364">
        <v>9326642</v>
      </c>
      <c r="F27" s="364">
        <v>29081790</v>
      </c>
      <c r="G27" s="364">
        <v>56321041</v>
      </c>
      <c r="H27" s="364">
        <v>77193432</v>
      </c>
      <c r="I27" s="1"/>
      <c r="J27" s="407"/>
      <c r="K27" s="407"/>
      <c r="L27" s="407"/>
      <c r="M27" s="407"/>
      <c r="N27" s="407"/>
      <c r="O27" s="407"/>
      <c r="P27" s="1"/>
      <c r="Q27" s="1"/>
    </row>
    <row r="28" spans="2:17" x14ac:dyDescent="0.55000000000000004">
      <c r="B28" s="363" t="s">
        <v>856</v>
      </c>
      <c r="C28" s="364"/>
      <c r="D28" s="364">
        <v>347072</v>
      </c>
      <c r="E28" s="364">
        <v>589599</v>
      </c>
      <c r="F28" s="364">
        <v>1532621</v>
      </c>
      <c r="G28" s="364">
        <v>98824</v>
      </c>
      <c r="H28" s="364">
        <v>4328205</v>
      </c>
      <c r="I28" s="1"/>
      <c r="J28" s="403" t="s">
        <v>66</v>
      </c>
      <c r="K28" s="407">
        <f>D38/10^7</f>
        <v>1.38</v>
      </c>
      <c r="L28" s="407">
        <f>E38/10^7</f>
        <v>1.38</v>
      </c>
      <c r="M28" s="407">
        <f>F38/10^7</f>
        <v>1.38</v>
      </c>
      <c r="N28" s="407">
        <f>G38/10^7</f>
        <v>2.8687999999999998</v>
      </c>
      <c r="O28" s="407">
        <f>H38/10^7</f>
        <v>2.8687999999999998</v>
      </c>
      <c r="P28" s="1"/>
      <c r="Q28" s="1"/>
    </row>
    <row r="29" spans="2:17" x14ac:dyDescent="0.55000000000000004">
      <c r="B29" s="361" t="s">
        <v>850</v>
      </c>
      <c r="C29" s="362"/>
      <c r="D29" s="362">
        <v>2591935</v>
      </c>
      <c r="E29" s="362">
        <v>2338328</v>
      </c>
      <c r="F29" s="362">
        <v>6588512</v>
      </c>
      <c r="G29" s="362">
        <v>5803765</v>
      </c>
      <c r="H29" s="362">
        <v>16551707</v>
      </c>
      <c r="I29" s="1"/>
      <c r="J29" s="403" t="s">
        <v>857</v>
      </c>
      <c r="K29" s="407">
        <f t="shared" ref="K29:O30" si="2">D40/10^7</f>
        <v>0.54176380000000002</v>
      </c>
      <c r="L29" s="407">
        <f t="shared" si="2"/>
        <v>0.91119950000000005</v>
      </c>
      <c r="M29" s="407">
        <f t="shared" si="2"/>
        <v>1.9638108999999999</v>
      </c>
      <c r="N29" s="407">
        <f t="shared" si="2"/>
        <v>1.2664192000000001</v>
      </c>
      <c r="O29" s="407">
        <f t="shared" si="2"/>
        <v>1.2664192000000001</v>
      </c>
      <c r="P29" s="1"/>
      <c r="Q29" s="1"/>
    </row>
    <row r="30" spans="2:17" x14ac:dyDescent="0.55000000000000004">
      <c r="B30" s="363" t="s">
        <v>852</v>
      </c>
      <c r="C30" s="364"/>
      <c r="D30" s="364">
        <v>16808186</v>
      </c>
      <c r="E30" s="364">
        <v>20438169</v>
      </c>
      <c r="F30" s="364">
        <v>6949042</v>
      </c>
      <c r="G30" s="364">
        <v>3649043</v>
      </c>
      <c r="H30" s="364">
        <v>1099879</v>
      </c>
      <c r="I30" s="1"/>
      <c r="J30" s="403" t="s">
        <v>858</v>
      </c>
      <c r="K30" s="407">
        <f t="shared" si="2"/>
        <v>0.80475490000000005</v>
      </c>
      <c r="L30" s="407">
        <f t="shared" si="2"/>
        <v>0.68265359999999997</v>
      </c>
      <c r="M30" s="407">
        <f t="shared" si="2"/>
        <v>2.2615158000000002</v>
      </c>
      <c r="N30" s="407">
        <f t="shared" si="2"/>
        <v>1.6302337</v>
      </c>
      <c r="O30" s="407">
        <f t="shared" si="2"/>
        <v>13.8155342</v>
      </c>
      <c r="P30" s="1"/>
      <c r="Q30" s="1"/>
    </row>
    <row r="31" spans="2:17" x14ac:dyDescent="0.55000000000000004">
      <c r="B31" s="361" t="s">
        <v>859</v>
      </c>
      <c r="C31" s="362"/>
      <c r="D31" s="362">
        <v>2179684</v>
      </c>
      <c r="E31" s="362">
        <v>500000</v>
      </c>
      <c r="F31" s="362">
        <v>0</v>
      </c>
      <c r="G31" s="362">
        <v>636221</v>
      </c>
      <c r="H31" s="362">
        <v>4323304</v>
      </c>
      <c r="I31" s="1"/>
      <c r="J31" s="403" t="s">
        <v>82</v>
      </c>
      <c r="K31" s="407">
        <f>K32-K30-K29-K28</f>
        <v>0.1379999999999999</v>
      </c>
      <c r="L31" s="407">
        <f>L32-L30-L29-L28</f>
        <v>0.1379999999999999</v>
      </c>
      <c r="M31" s="407">
        <f>M32-M30-M29-M28</f>
        <v>0.1379999999999999</v>
      </c>
      <c r="N31" s="407">
        <f>N32-N30-N29-N28</f>
        <v>0.26990140000000018</v>
      </c>
      <c r="O31" s="407">
        <f>O32-O30-O29-O28</f>
        <v>0.28688000000000002</v>
      </c>
      <c r="P31" s="1"/>
      <c r="Q31" s="1"/>
    </row>
    <row r="32" spans="2:17" x14ac:dyDescent="0.55000000000000004">
      <c r="B32" s="365" t="s">
        <v>860</v>
      </c>
      <c r="C32" s="366"/>
      <c r="D32" s="366">
        <v>39681399</v>
      </c>
      <c r="E32" s="366">
        <v>33192738</v>
      </c>
      <c r="F32" s="366">
        <v>44151965</v>
      </c>
      <c r="G32" s="366">
        <v>66508894</v>
      </c>
      <c r="H32" s="366">
        <v>103496527</v>
      </c>
      <c r="I32" s="1"/>
      <c r="J32" s="411" t="s">
        <v>861</v>
      </c>
      <c r="K32" s="407">
        <f>D42/10^7</f>
        <v>2.8645187000000001</v>
      </c>
      <c r="L32" s="407">
        <f>E42/10^7</f>
        <v>3.1118530999999998</v>
      </c>
      <c r="M32" s="407">
        <f>F42/10^7</f>
        <v>5.7433266999999999</v>
      </c>
      <c r="N32" s="407">
        <f>G42/10^7</f>
        <v>6.0353542999999998</v>
      </c>
      <c r="O32" s="407">
        <f>H42/10^7</f>
        <v>18.2376334</v>
      </c>
      <c r="P32" s="1"/>
      <c r="Q32" s="1"/>
    </row>
    <row r="33" spans="2:17" x14ac:dyDescent="0.55000000000000004">
      <c r="B33" s="361" t="s">
        <v>862</v>
      </c>
      <c r="C33" s="362"/>
      <c r="D33" s="362">
        <v>51144</v>
      </c>
      <c r="E33" s="362">
        <v>0</v>
      </c>
      <c r="F33" s="362">
        <v>0</v>
      </c>
      <c r="G33" s="362">
        <v>0</v>
      </c>
      <c r="H33" s="362">
        <v>0</v>
      </c>
      <c r="I33" s="1"/>
      <c r="J33" s="1"/>
      <c r="K33" s="1"/>
      <c r="L33" s="1"/>
      <c r="M33" s="1"/>
      <c r="N33" s="1"/>
      <c r="O33" s="1"/>
      <c r="P33" s="1"/>
      <c r="Q33" s="1"/>
    </row>
    <row r="34" spans="2:17" x14ac:dyDescent="0.55000000000000004">
      <c r="B34" s="363" t="s">
        <v>863</v>
      </c>
      <c r="C34" s="364"/>
      <c r="D34" s="364">
        <v>781987</v>
      </c>
      <c r="E34" s="364">
        <v>987586</v>
      </c>
      <c r="F34" s="364">
        <v>1083756</v>
      </c>
      <c r="G34" s="364">
        <v>1465703</v>
      </c>
      <c r="H34" s="364">
        <v>2993933</v>
      </c>
      <c r="I34" s="1"/>
      <c r="J34" s="1"/>
      <c r="K34" s="1"/>
      <c r="L34" s="1"/>
      <c r="M34" s="1"/>
      <c r="N34" s="1"/>
      <c r="O34" s="1"/>
      <c r="P34" s="1"/>
      <c r="Q34" s="1"/>
    </row>
    <row r="35" spans="2:17" x14ac:dyDescent="0.55000000000000004">
      <c r="B35" s="367" t="s">
        <v>864</v>
      </c>
      <c r="C35" s="368"/>
      <c r="D35" s="368">
        <v>833131</v>
      </c>
      <c r="E35" s="368">
        <v>987586</v>
      </c>
      <c r="F35" s="368">
        <v>1083756</v>
      </c>
      <c r="G35" s="368">
        <v>1465703</v>
      </c>
      <c r="H35" s="368">
        <v>2993933</v>
      </c>
      <c r="I35" s="1"/>
      <c r="J35" s="1"/>
      <c r="K35" s="1"/>
      <c r="L35" s="1"/>
      <c r="M35" s="1"/>
      <c r="N35" s="1"/>
      <c r="O35" s="1"/>
      <c r="P35" s="1"/>
      <c r="Q35" s="1"/>
    </row>
    <row r="36" spans="2:17" x14ac:dyDescent="0.55000000000000004">
      <c r="B36" s="365" t="s">
        <v>865</v>
      </c>
      <c r="C36" s="366"/>
      <c r="D36" s="366">
        <v>40514530</v>
      </c>
      <c r="E36" s="366">
        <v>34180324</v>
      </c>
      <c r="F36" s="366">
        <v>45235721</v>
      </c>
      <c r="G36" s="366">
        <v>67974597</v>
      </c>
      <c r="H36" s="366">
        <v>106490460</v>
      </c>
      <c r="I36" s="1"/>
      <c r="J36" s="1"/>
      <c r="K36" s="1"/>
      <c r="L36" s="1"/>
      <c r="M36" s="1"/>
      <c r="N36" s="1"/>
      <c r="O36" s="1"/>
      <c r="P36" s="1"/>
      <c r="Q36" s="1"/>
    </row>
    <row r="37" spans="2:17" x14ac:dyDescent="0.55000000000000004">
      <c r="B37" s="398" t="s">
        <v>866</v>
      </c>
      <c r="C37" s="399"/>
      <c r="D37" s="399"/>
      <c r="E37" s="399"/>
      <c r="F37" s="399"/>
      <c r="G37" s="399"/>
      <c r="H37" s="399"/>
      <c r="I37" s="1"/>
      <c r="J37" s="1"/>
      <c r="K37" s="1"/>
      <c r="L37" s="1"/>
      <c r="M37" s="1"/>
      <c r="N37" s="1"/>
      <c r="O37" s="1"/>
      <c r="P37" s="1"/>
      <c r="Q37" s="1"/>
    </row>
    <row r="38" spans="2:17" x14ac:dyDescent="0.55000000000000004">
      <c r="B38" s="363" t="s">
        <v>66</v>
      </c>
      <c r="C38" s="364"/>
      <c r="D38" s="364">
        <v>13800000</v>
      </c>
      <c r="E38" s="364">
        <v>13800000</v>
      </c>
      <c r="F38" s="364">
        <v>13800000</v>
      </c>
      <c r="G38" s="364">
        <v>28688000</v>
      </c>
      <c r="H38" s="364">
        <v>28688000</v>
      </c>
      <c r="I38" s="1"/>
      <c r="J38" s="1"/>
      <c r="K38" s="1"/>
      <c r="L38" s="1"/>
      <c r="M38" s="1"/>
      <c r="N38" s="1"/>
      <c r="O38" s="1"/>
      <c r="P38" s="1"/>
      <c r="Q38" s="1"/>
    </row>
    <row r="39" spans="2:17" x14ac:dyDescent="0.55000000000000004">
      <c r="B39" s="361" t="s">
        <v>867</v>
      </c>
      <c r="C39" s="362"/>
      <c r="D39" s="362">
        <v>1380000</v>
      </c>
      <c r="E39" s="362">
        <v>1380000</v>
      </c>
      <c r="F39" s="362">
        <v>1380000</v>
      </c>
      <c r="G39" s="362">
        <v>2699014</v>
      </c>
      <c r="H39" s="362">
        <v>2868800</v>
      </c>
      <c r="I39" s="1"/>
      <c r="J39" s="1"/>
      <c r="K39" s="1"/>
      <c r="L39" s="1"/>
      <c r="M39" s="1"/>
      <c r="N39" s="1"/>
      <c r="O39" s="1"/>
      <c r="P39" s="1"/>
      <c r="Q39" s="1"/>
    </row>
    <row r="40" spans="2:17" x14ac:dyDescent="0.55000000000000004">
      <c r="B40" s="363" t="s">
        <v>857</v>
      </c>
      <c r="C40" s="364"/>
      <c r="D40" s="364">
        <v>5417638</v>
      </c>
      <c r="E40" s="364">
        <v>9111995</v>
      </c>
      <c r="F40" s="364">
        <v>19638109</v>
      </c>
      <c r="G40" s="364">
        <v>12664192</v>
      </c>
      <c r="H40" s="364">
        <v>12664192</v>
      </c>
      <c r="I40" s="1"/>
      <c r="J40" s="1"/>
      <c r="K40" s="1"/>
      <c r="L40" s="1"/>
      <c r="M40" s="1"/>
      <c r="N40" s="1"/>
      <c r="O40" s="1"/>
      <c r="P40" s="1"/>
      <c r="Q40" s="1"/>
    </row>
    <row r="41" spans="2:17" x14ac:dyDescent="0.55000000000000004">
      <c r="B41" s="361" t="s">
        <v>858</v>
      </c>
      <c r="C41" s="362"/>
      <c r="D41" s="362">
        <v>8047549</v>
      </c>
      <c r="E41" s="362">
        <v>6826536</v>
      </c>
      <c r="F41" s="362">
        <v>22615158</v>
      </c>
      <c r="G41" s="362">
        <v>16302337</v>
      </c>
      <c r="H41" s="362">
        <v>138155342</v>
      </c>
      <c r="I41" s="1"/>
      <c r="J41" s="1"/>
      <c r="K41" s="1"/>
      <c r="L41" s="1"/>
      <c r="M41" s="1"/>
      <c r="N41" s="1"/>
      <c r="O41" s="1"/>
      <c r="P41" s="1"/>
      <c r="Q41" s="1"/>
    </row>
    <row r="42" spans="2:17" x14ac:dyDescent="0.55000000000000004">
      <c r="B42" s="365" t="s">
        <v>868</v>
      </c>
      <c r="C42" s="366"/>
      <c r="D42" s="366">
        <v>28645187</v>
      </c>
      <c r="E42" s="366">
        <v>31118531</v>
      </c>
      <c r="F42" s="366">
        <v>57433267</v>
      </c>
      <c r="G42" s="366">
        <v>60353543</v>
      </c>
      <c r="H42" s="366">
        <v>182376334</v>
      </c>
      <c r="I42" s="1"/>
      <c r="J42" s="1"/>
      <c r="K42" s="1"/>
      <c r="L42" s="1"/>
      <c r="M42" s="1"/>
      <c r="N42" s="1"/>
      <c r="O42" s="1"/>
      <c r="P42" s="1"/>
      <c r="Q42" s="1"/>
    </row>
    <row r="43" spans="2:17" x14ac:dyDescent="0.55000000000000004">
      <c r="B43" s="367" t="s">
        <v>869</v>
      </c>
      <c r="C43" s="368"/>
      <c r="D43" s="368">
        <v>69159717</v>
      </c>
      <c r="E43" s="368">
        <v>65298855</v>
      </c>
      <c r="F43" s="368">
        <v>102668988</v>
      </c>
      <c r="G43" s="368">
        <v>128328140</v>
      </c>
      <c r="H43" s="368">
        <v>288866794</v>
      </c>
      <c r="I43" s="1"/>
      <c r="J43" s="1"/>
      <c r="K43" s="1"/>
      <c r="L43" s="1"/>
      <c r="M43" s="1"/>
      <c r="N43" s="1"/>
      <c r="O43" s="1"/>
      <c r="P43" s="1"/>
      <c r="Q43" s="1"/>
    </row>
    <row r="44" spans="2:17" x14ac:dyDescent="0.55000000000000004">
      <c r="B44" s="2"/>
      <c r="C44" s="2"/>
      <c r="D44" s="2"/>
      <c r="E44" s="2"/>
      <c r="F44" s="2"/>
      <c r="G44" s="2"/>
      <c r="H44" s="2"/>
      <c r="I44" s="1"/>
      <c r="J44" s="1"/>
      <c r="K44" s="1"/>
      <c r="L44" s="1"/>
      <c r="M44" s="1"/>
      <c r="N44" s="1"/>
      <c r="O44" s="1"/>
      <c r="P44" s="1"/>
      <c r="Q44" s="1"/>
    </row>
    <row r="45" spans="2:17" x14ac:dyDescent="0.55000000000000004">
      <c r="B45" s="1"/>
      <c r="C45" s="1"/>
      <c r="D45" s="1"/>
      <c r="E45" s="1"/>
      <c r="F45" s="1"/>
      <c r="G45" s="1"/>
      <c r="H45" s="1"/>
      <c r="I45" s="1"/>
      <c r="J45" s="1"/>
      <c r="K45" s="1"/>
      <c r="L45" s="1"/>
      <c r="M45" s="1"/>
      <c r="N45" s="1"/>
      <c r="O45" s="1"/>
      <c r="P45" s="1"/>
      <c r="Q45" s="1"/>
    </row>
    <row r="46" spans="2:17" ht="41.4" x14ac:dyDescent="0.85">
      <c r="B46" s="413" t="s">
        <v>870</v>
      </c>
      <c r="C46" s="414"/>
      <c r="D46" s="414"/>
      <c r="E46" s="414"/>
      <c r="F46" s="414"/>
      <c r="G46" s="414"/>
      <c r="H46" s="414"/>
      <c r="I46" s="1"/>
      <c r="J46" s="1"/>
      <c r="K46" s="1"/>
      <c r="L46" s="1"/>
      <c r="M46" s="1"/>
      <c r="N46" s="1"/>
      <c r="O46" s="1"/>
      <c r="P46" s="1"/>
      <c r="Q46" s="1"/>
    </row>
    <row r="47" spans="2:17" x14ac:dyDescent="0.55000000000000004">
      <c r="B47" s="10"/>
      <c r="C47" s="10"/>
      <c r="D47" s="10"/>
      <c r="E47" s="10"/>
      <c r="F47" s="10"/>
      <c r="G47" s="10"/>
      <c r="H47" s="10"/>
      <c r="I47" s="1"/>
      <c r="J47" s="1"/>
      <c r="K47" s="1"/>
      <c r="L47" s="1"/>
      <c r="M47" s="1"/>
      <c r="N47" s="1"/>
      <c r="O47" s="1"/>
      <c r="P47" s="1"/>
      <c r="Q47" s="1"/>
    </row>
    <row r="48" spans="2:17" ht="17.2" thickBot="1" x14ac:dyDescent="0.6">
      <c r="B48" s="415" t="s">
        <v>52</v>
      </c>
      <c r="C48" s="416"/>
      <c r="D48" s="416" t="s">
        <v>806</v>
      </c>
      <c r="E48" s="416" t="s">
        <v>807</v>
      </c>
      <c r="F48" s="416" t="s">
        <v>808</v>
      </c>
      <c r="G48" s="416" t="s">
        <v>809</v>
      </c>
      <c r="H48" s="416" t="s">
        <v>810</v>
      </c>
      <c r="I48" s="1"/>
      <c r="J48" s="1"/>
      <c r="K48" s="1"/>
      <c r="L48" s="1"/>
      <c r="M48" s="1"/>
      <c r="N48" s="1"/>
      <c r="O48" s="1"/>
      <c r="P48" s="1"/>
      <c r="Q48" s="1"/>
    </row>
    <row r="49" spans="2:17" x14ac:dyDescent="0.55000000000000004">
      <c r="B49" s="417"/>
      <c r="C49" s="418"/>
      <c r="D49" s="418"/>
      <c r="E49" s="418"/>
      <c r="F49" s="418"/>
      <c r="G49" s="418"/>
      <c r="H49" s="418"/>
      <c r="I49" s="1"/>
      <c r="J49" s="1"/>
      <c r="K49" s="1"/>
      <c r="L49" s="1"/>
      <c r="M49" s="1"/>
      <c r="N49" s="1"/>
      <c r="O49" s="1"/>
      <c r="P49" s="1"/>
      <c r="Q49" s="1"/>
    </row>
    <row r="50" spans="2:17" x14ac:dyDescent="0.55000000000000004">
      <c r="B50" s="419" t="s">
        <v>836</v>
      </c>
      <c r="C50" s="420"/>
      <c r="D50" s="420"/>
      <c r="E50" s="420"/>
      <c r="F50" s="420"/>
      <c r="G50" s="420"/>
      <c r="H50" s="420"/>
      <c r="I50" s="1"/>
      <c r="J50" s="1"/>
      <c r="K50" s="1"/>
      <c r="L50" s="1"/>
      <c r="M50" s="1"/>
      <c r="N50" s="1"/>
      <c r="O50" s="1"/>
      <c r="P50" s="1"/>
      <c r="Q50" s="1"/>
    </row>
    <row r="51" spans="2:17" x14ac:dyDescent="0.55000000000000004">
      <c r="B51" s="421" t="s">
        <v>837</v>
      </c>
      <c r="C51" s="422"/>
      <c r="D51" s="423">
        <v>2.5000000000000001E-2</v>
      </c>
      <c r="E51" s="423">
        <v>2.5000000000000001E-2</v>
      </c>
      <c r="F51" s="423">
        <v>5.7999999999999996E-2</v>
      </c>
      <c r="G51" s="423">
        <v>7.0000000000000007E-2</v>
      </c>
      <c r="H51" s="423">
        <v>5.5E-2</v>
      </c>
      <c r="I51" s="1"/>
      <c r="J51" s="1"/>
      <c r="K51" s="1"/>
      <c r="L51" s="1"/>
      <c r="M51" s="1"/>
      <c r="N51" s="1"/>
      <c r="O51" s="1"/>
      <c r="P51" s="1"/>
      <c r="Q51" s="1"/>
    </row>
    <row r="52" spans="2:17" x14ac:dyDescent="0.55000000000000004">
      <c r="B52" s="417" t="s">
        <v>838</v>
      </c>
      <c r="C52" s="418"/>
      <c r="D52" s="424">
        <v>0</v>
      </c>
      <c r="E52" s="424">
        <v>2.6000000000000002E-2</v>
      </c>
      <c r="F52" s="424">
        <v>2.5000000000000001E-2</v>
      </c>
      <c r="G52" s="424">
        <v>4.4999999999999998E-2</v>
      </c>
      <c r="H52" s="424">
        <v>0.122</v>
      </c>
      <c r="I52" s="1"/>
      <c r="J52" s="1"/>
      <c r="K52" s="1"/>
      <c r="L52" s="1"/>
      <c r="M52" s="1"/>
      <c r="N52" s="1"/>
      <c r="O52" s="1"/>
      <c r="P52" s="1"/>
      <c r="Q52" s="1"/>
    </row>
    <row r="53" spans="2:17" x14ac:dyDescent="0.55000000000000004">
      <c r="B53" s="421" t="s">
        <v>839</v>
      </c>
      <c r="C53" s="422"/>
      <c r="D53" s="423">
        <v>0.44700000000000001</v>
      </c>
      <c r="E53" s="423">
        <v>0.22399999999999998</v>
      </c>
      <c r="F53" s="423">
        <v>0.03</v>
      </c>
      <c r="G53" s="423">
        <v>0.107</v>
      </c>
      <c r="H53" s="423">
        <v>0.20100000000000001</v>
      </c>
      <c r="I53" s="1"/>
      <c r="J53" s="1"/>
      <c r="K53" s="1"/>
      <c r="L53" s="1"/>
      <c r="M53" s="1"/>
      <c r="N53" s="1"/>
      <c r="O53" s="1"/>
      <c r="P53" s="1"/>
      <c r="Q53" s="1"/>
    </row>
    <row r="54" spans="2:17" x14ac:dyDescent="0.55000000000000004">
      <c r="B54" s="417" t="s">
        <v>840</v>
      </c>
      <c r="C54" s="418"/>
      <c r="D54" s="424">
        <v>0.19</v>
      </c>
      <c r="E54" s="424">
        <v>0.308</v>
      </c>
      <c r="F54" s="424">
        <v>0.55200000000000005</v>
      </c>
      <c r="G54" s="424">
        <v>0.46600000000000003</v>
      </c>
      <c r="H54" s="424">
        <v>0.43799999999999994</v>
      </c>
      <c r="I54" s="1"/>
      <c r="J54" s="1"/>
      <c r="K54" s="1"/>
      <c r="L54" s="1"/>
      <c r="M54" s="1"/>
      <c r="N54" s="1"/>
      <c r="O54" s="1"/>
      <c r="P54" s="1"/>
      <c r="Q54" s="1"/>
    </row>
    <row r="55" spans="2:17" x14ac:dyDescent="0.55000000000000004">
      <c r="B55" s="425" t="s">
        <v>841</v>
      </c>
      <c r="C55" s="426"/>
      <c r="D55" s="427">
        <v>4.0000000000000001E-3</v>
      </c>
      <c r="E55" s="427">
        <v>0.01</v>
      </c>
      <c r="F55" s="427">
        <v>5.0000000000000001E-3</v>
      </c>
      <c r="G55" s="427">
        <v>9.0000000000000011E-3</v>
      </c>
      <c r="H55" s="427">
        <v>6.0000000000000001E-3</v>
      </c>
      <c r="I55" s="1"/>
      <c r="J55" s="1"/>
      <c r="K55" s="1"/>
      <c r="L55" s="1"/>
      <c r="M55" s="1"/>
      <c r="N55" s="1"/>
      <c r="O55" s="1"/>
      <c r="P55" s="1"/>
      <c r="Q55" s="1"/>
    </row>
    <row r="56" spans="2:17" x14ac:dyDescent="0.55000000000000004">
      <c r="B56" s="428" t="s">
        <v>843</v>
      </c>
      <c r="C56" s="429"/>
      <c r="D56" s="430">
        <v>0.66599999999999993</v>
      </c>
      <c r="E56" s="430">
        <v>0.59200000000000008</v>
      </c>
      <c r="F56" s="430">
        <v>0.67</v>
      </c>
      <c r="G56" s="430">
        <v>0.69700000000000006</v>
      </c>
      <c r="H56" s="430">
        <v>0.82099999999999995</v>
      </c>
      <c r="I56" s="1"/>
      <c r="J56" s="1"/>
      <c r="K56" s="1"/>
      <c r="L56" s="1"/>
      <c r="M56" s="1"/>
      <c r="N56" s="1"/>
      <c r="O56" s="1"/>
      <c r="P56" s="1"/>
      <c r="Q56" s="1"/>
    </row>
    <row r="57" spans="2:17" x14ac:dyDescent="0.55000000000000004">
      <c r="B57" s="421" t="s">
        <v>847</v>
      </c>
      <c r="C57" s="422"/>
      <c r="D57" s="423">
        <v>0.33200000000000002</v>
      </c>
      <c r="E57" s="423">
        <v>0.40600000000000003</v>
      </c>
      <c r="F57" s="423">
        <v>0.32799999999999996</v>
      </c>
      <c r="G57" s="423">
        <v>0.30099999999999999</v>
      </c>
      <c r="H57" s="423">
        <v>0.17699999999999999</v>
      </c>
      <c r="I57" s="1"/>
      <c r="J57" s="1"/>
      <c r="K57" s="1"/>
      <c r="L57" s="1"/>
      <c r="M57" s="1"/>
      <c r="N57" s="1"/>
      <c r="O57" s="1"/>
      <c r="P57" s="1"/>
      <c r="Q57" s="1"/>
    </row>
    <row r="58" spans="2:17" x14ac:dyDescent="0.55000000000000004">
      <c r="B58" s="428" t="s">
        <v>851</v>
      </c>
      <c r="C58" s="429"/>
      <c r="D58" s="430">
        <v>0.33399999999999996</v>
      </c>
      <c r="E58" s="430">
        <v>0.40799999999999997</v>
      </c>
      <c r="F58" s="430">
        <v>0.33</v>
      </c>
      <c r="G58" s="430">
        <v>0.30299999999999999</v>
      </c>
      <c r="H58" s="430">
        <v>0.17899999999999999</v>
      </c>
      <c r="I58" s="1"/>
      <c r="J58" s="1"/>
      <c r="K58" s="1"/>
      <c r="L58" s="1"/>
      <c r="M58" s="1"/>
      <c r="N58" s="1"/>
      <c r="O58" s="1"/>
      <c r="P58" s="1"/>
      <c r="Q58" s="1"/>
    </row>
    <row r="59" spans="2:17" x14ac:dyDescent="0.55000000000000004">
      <c r="B59" s="431" t="s">
        <v>846</v>
      </c>
      <c r="C59" s="432"/>
      <c r="D59" s="433">
        <v>1</v>
      </c>
      <c r="E59" s="433">
        <v>1</v>
      </c>
      <c r="F59" s="433">
        <v>1</v>
      </c>
      <c r="G59" s="433">
        <v>1</v>
      </c>
      <c r="H59" s="433">
        <v>1</v>
      </c>
      <c r="I59" s="1"/>
      <c r="J59" s="1"/>
      <c r="K59" s="1"/>
      <c r="L59" s="1"/>
      <c r="M59" s="1"/>
      <c r="N59" s="1"/>
      <c r="O59" s="1"/>
      <c r="P59" s="1"/>
      <c r="Q59" s="1"/>
    </row>
    <row r="60" spans="2:17" x14ac:dyDescent="0.55000000000000004">
      <c r="B60" s="419" t="s">
        <v>854</v>
      </c>
      <c r="C60" s="420"/>
      <c r="D60" s="434"/>
      <c r="E60" s="434"/>
      <c r="F60" s="434"/>
      <c r="G60" s="434"/>
      <c r="H60" s="434"/>
      <c r="I60" s="1"/>
      <c r="J60" s="1"/>
      <c r="K60" s="1"/>
      <c r="L60" s="1"/>
      <c r="M60" s="1"/>
      <c r="N60" s="1"/>
      <c r="O60" s="1"/>
      <c r="P60" s="1"/>
      <c r="Q60" s="1"/>
    </row>
    <row r="61" spans="2:17" x14ac:dyDescent="0.55000000000000004">
      <c r="B61" s="421" t="s">
        <v>849</v>
      </c>
      <c r="C61" s="422"/>
      <c r="D61" s="423">
        <v>0.25700000000000001</v>
      </c>
      <c r="E61" s="423">
        <v>0.14300000000000002</v>
      </c>
      <c r="F61" s="423">
        <v>0.28300000000000003</v>
      </c>
      <c r="G61" s="423">
        <v>0.439</v>
      </c>
      <c r="H61" s="423">
        <v>0.26700000000000002</v>
      </c>
      <c r="I61" s="1"/>
      <c r="J61" s="1"/>
      <c r="K61" s="1"/>
      <c r="L61" s="1"/>
      <c r="M61" s="1"/>
      <c r="N61" s="1"/>
      <c r="O61" s="1"/>
      <c r="P61" s="1"/>
      <c r="Q61" s="1"/>
    </row>
    <row r="62" spans="2:17" x14ac:dyDescent="0.55000000000000004">
      <c r="B62" s="425" t="s">
        <v>856</v>
      </c>
      <c r="C62" s="426"/>
      <c r="D62" s="427">
        <v>5.0000000000000001E-3</v>
      </c>
      <c r="E62" s="427">
        <v>9.0000000000000011E-3</v>
      </c>
      <c r="F62" s="427">
        <v>1.4999999999999999E-2</v>
      </c>
      <c r="G62" s="427">
        <v>1E-3</v>
      </c>
      <c r="H62" s="427">
        <v>1.4999999999999999E-2</v>
      </c>
      <c r="I62" s="1"/>
      <c r="J62" s="1"/>
      <c r="K62" s="1"/>
      <c r="L62" s="1"/>
      <c r="M62" s="1"/>
      <c r="N62" s="1"/>
      <c r="O62" s="1"/>
      <c r="P62" s="1"/>
      <c r="Q62" s="1"/>
    </row>
    <row r="63" spans="2:17" x14ac:dyDescent="0.55000000000000004">
      <c r="B63" s="417" t="s">
        <v>850</v>
      </c>
      <c r="C63" s="418"/>
      <c r="D63" s="424">
        <v>3.7000000000000005E-2</v>
      </c>
      <c r="E63" s="424">
        <v>3.6000000000000004E-2</v>
      </c>
      <c r="F63" s="424">
        <v>6.4000000000000001E-2</v>
      </c>
      <c r="G63" s="424">
        <v>4.4999999999999998E-2</v>
      </c>
      <c r="H63" s="424">
        <v>5.7000000000000002E-2</v>
      </c>
      <c r="I63" s="1"/>
      <c r="J63" s="1"/>
      <c r="K63" s="1"/>
      <c r="L63" s="1"/>
      <c r="M63" s="1"/>
      <c r="N63" s="1"/>
      <c r="O63" s="1"/>
      <c r="P63" s="1"/>
      <c r="Q63" s="1"/>
    </row>
    <row r="64" spans="2:17" x14ac:dyDescent="0.55000000000000004">
      <c r="B64" s="421" t="s">
        <v>852</v>
      </c>
      <c r="C64" s="422"/>
      <c r="D64" s="423">
        <v>0.24299999999999999</v>
      </c>
      <c r="E64" s="423">
        <v>0.313</v>
      </c>
      <c r="F64" s="423">
        <v>6.8000000000000005E-2</v>
      </c>
      <c r="G64" s="423">
        <v>2.7999999999999997E-2</v>
      </c>
      <c r="H64" s="423">
        <v>4.0000000000000001E-3</v>
      </c>
      <c r="I64" s="1"/>
      <c r="J64" s="1"/>
      <c r="K64" s="1"/>
      <c r="L64" s="1"/>
      <c r="M64" s="1"/>
      <c r="N64" s="1"/>
      <c r="O64" s="1"/>
      <c r="P64" s="1"/>
      <c r="Q64" s="1"/>
    </row>
    <row r="65" spans="2:17" x14ac:dyDescent="0.55000000000000004">
      <c r="B65" s="425" t="s">
        <v>859</v>
      </c>
      <c r="C65" s="426"/>
      <c r="D65" s="427">
        <v>3.2000000000000001E-2</v>
      </c>
      <c r="E65" s="427">
        <v>8.0000000000000002E-3</v>
      </c>
      <c r="F65" s="427">
        <v>0</v>
      </c>
      <c r="G65" s="427">
        <v>5.0000000000000001E-3</v>
      </c>
      <c r="H65" s="427">
        <v>1.4999999999999999E-2</v>
      </c>
      <c r="I65" s="1"/>
      <c r="J65" s="1"/>
      <c r="K65" s="1"/>
      <c r="L65" s="1"/>
      <c r="M65" s="1"/>
      <c r="N65" s="1"/>
      <c r="O65" s="1"/>
      <c r="P65" s="1"/>
      <c r="Q65" s="1"/>
    </row>
    <row r="66" spans="2:17" x14ac:dyDescent="0.55000000000000004">
      <c r="B66" s="428" t="s">
        <v>860</v>
      </c>
      <c r="C66" s="429"/>
      <c r="D66" s="430">
        <v>0.57399999999999995</v>
      </c>
      <c r="E66" s="430">
        <v>0.50800000000000001</v>
      </c>
      <c r="F66" s="430">
        <v>0.43</v>
      </c>
      <c r="G66" s="430">
        <v>0.51800000000000002</v>
      </c>
      <c r="H66" s="430">
        <v>0.35799999999999998</v>
      </c>
      <c r="I66" s="1"/>
      <c r="J66" s="1"/>
      <c r="K66" s="1"/>
      <c r="L66" s="1"/>
      <c r="M66" s="1"/>
      <c r="N66" s="1"/>
      <c r="O66" s="1"/>
      <c r="P66" s="1"/>
      <c r="Q66" s="1"/>
    </row>
    <row r="67" spans="2:17" x14ac:dyDescent="0.55000000000000004">
      <c r="B67" s="421" t="s">
        <v>863</v>
      </c>
      <c r="C67" s="422"/>
      <c r="D67" s="423">
        <v>1.1000000000000001E-2</v>
      </c>
      <c r="E67" s="423">
        <v>1.4999999999999999E-2</v>
      </c>
      <c r="F67" s="423">
        <v>1.1000000000000001E-2</v>
      </c>
      <c r="G67" s="423">
        <v>1.1000000000000001E-2</v>
      </c>
      <c r="H67" s="423">
        <v>0.01</v>
      </c>
      <c r="I67" s="1"/>
      <c r="J67" s="1"/>
      <c r="K67" s="1"/>
      <c r="L67" s="1"/>
      <c r="M67" s="1"/>
      <c r="N67" s="1"/>
      <c r="O67" s="1"/>
      <c r="P67" s="1"/>
      <c r="Q67" s="1"/>
    </row>
    <row r="68" spans="2:17" x14ac:dyDescent="0.55000000000000004">
      <c r="B68" s="431" t="s">
        <v>864</v>
      </c>
      <c r="C68" s="432"/>
      <c r="D68" s="433">
        <v>1.2E-2</v>
      </c>
      <c r="E68" s="433">
        <v>1.4999999999999999E-2</v>
      </c>
      <c r="F68" s="433">
        <v>1.1000000000000001E-2</v>
      </c>
      <c r="G68" s="433">
        <v>1.1000000000000001E-2</v>
      </c>
      <c r="H68" s="433">
        <v>0.01</v>
      </c>
      <c r="I68" s="1"/>
      <c r="J68" s="1"/>
      <c r="K68" s="1"/>
      <c r="L68" s="1"/>
      <c r="M68" s="1"/>
      <c r="N68" s="1"/>
      <c r="O68" s="1"/>
      <c r="P68" s="1"/>
      <c r="Q68" s="1"/>
    </row>
    <row r="69" spans="2:17" x14ac:dyDescent="0.55000000000000004">
      <c r="B69" s="428" t="s">
        <v>865</v>
      </c>
      <c r="C69" s="429"/>
      <c r="D69" s="430">
        <v>0.58599999999999997</v>
      </c>
      <c r="E69" s="430">
        <v>0.52300000000000002</v>
      </c>
      <c r="F69" s="430">
        <v>0.441</v>
      </c>
      <c r="G69" s="430">
        <v>0.53</v>
      </c>
      <c r="H69" s="430">
        <v>0.36899999999999999</v>
      </c>
      <c r="I69" s="1"/>
      <c r="J69" s="1"/>
      <c r="K69" s="1"/>
      <c r="L69" s="1"/>
      <c r="M69" s="1"/>
      <c r="N69" s="1"/>
      <c r="O69" s="1"/>
      <c r="P69" s="1"/>
      <c r="Q69" s="1"/>
    </row>
    <row r="70" spans="2:17" x14ac:dyDescent="0.55000000000000004">
      <c r="B70" s="419" t="s">
        <v>866</v>
      </c>
      <c r="C70" s="420"/>
      <c r="D70" s="434"/>
      <c r="E70" s="434"/>
      <c r="F70" s="434"/>
      <c r="G70" s="434"/>
      <c r="H70" s="434"/>
      <c r="I70" s="1"/>
      <c r="J70" s="1"/>
      <c r="K70" s="1"/>
      <c r="L70" s="1"/>
      <c r="M70" s="1"/>
      <c r="N70" s="1"/>
      <c r="O70" s="1"/>
      <c r="P70" s="1"/>
      <c r="Q70" s="1"/>
    </row>
    <row r="71" spans="2:17" x14ac:dyDescent="0.55000000000000004">
      <c r="B71" s="421" t="s">
        <v>66</v>
      </c>
      <c r="C71" s="422"/>
      <c r="D71" s="423">
        <v>0.2</v>
      </c>
      <c r="E71" s="423">
        <v>0.21100000000000002</v>
      </c>
      <c r="F71" s="423">
        <v>0.13400000000000001</v>
      </c>
      <c r="G71" s="423">
        <v>0.22399999999999998</v>
      </c>
      <c r="H71" s="423">
        <v>9.9000000000000005E-2</v>
      </c>
      <c r="I71" s="1"/>
      <c r="J71" s="1"/>
      <c r="K71" s="1"/>
      <c r="L71" s="1"/>
      <c r="M71" s="1"/>
      <c r="N71" s="1"/>
      <c r="O71" s="1"/>
      <c r="P71" s="1"/>
      <c r="Q71" s="1"/>
    </row>
    <row r="72" spans="2:17" x14ac:dyDescent="0.55000000000000004">
      <c r="B72" s="417" t="s">
        <v>867</v>
      </c>
      <c r="C72" s="418"/>
      <c r="D72" s="424">
        <v>0.02</v>
      </c>
      <c r="E72" s="424">
        <v>2.1000000000000001E-2</v>
      </c>
      <c r="F72" s="424">
        <v>1.3000000000000001E-2</v>
      </c>
      <c r="G72" s="424">
        <v>2.1000000000000001E-2</v>
      </c>
      <c r="H72" s="424">
        <v>0.01</v>
      </c>
      <c r="I72" s="1"/>
      <c r="J72" s="1"/>
      <c r="K72" s="1"/>
      <c r="L72" s="1"/>
      <c r="M72" s="1"/>
      <c r="N72" s="1"/>
      <c r="O72" s="1"/>
      <c r="P72" s="1"/>
      <c r="Q72" s="1"/>
    </row>
    <row r="73" spans="2:17" x14ac:dyDescent="0.55000000000000004">
      <c r="B73" s="421" t="s">
        <v>857</v>
      </c>
      <c r="C73" s="422"/>
      <c r="D73" s="423">
        <v>7.8E-2</v>
      </c>
      <c r="E73" s="423">
        <v>0.14000000000000001</v>
      </c>
      <c r="F73" s="423">
        <v>0.191</v>
      </c>
      <c r="G73" s="423">
        <v>9.9000000000000005E-2</v>
      </c>
      <c r="H73" s="423">
        <v>4.4000000000000004E-2</v>
      </c>
      <c r="I73" s="1"/>
      <c r="J73" s="1"/>
      <c r="K73" s="1"/>
      <c r="L73" s="1"/>
      <c r="M73" s="1"/>
      <c r="N73" s="1"/>
      <c r="O73" s="1"/>
      <c r="P73" s="1"/>
      <c r="Q73" s="1"/>
    </row>
    <row r="74" spans="2:17" x14ac:dyDescent="0.55000000000000004">
      <c r="B74" s="417" t="s">
        <v>858</v>
      </c>
      <c r="C74" s="418"/>
      <c r="D74" s="424">
        <v>0.11599999999999999</v>
      </c>
      <c r="E74" s="424">
        <v>0.105</v>
      </c>
      <c r="F74" s="424">
        <v>0.22</v>
      </c>
      <c r="G74" s="424">
        <v>0.127</v>
      </c>
      <c r="H74" s="424">
        <v>0.47799999999999998</v>
      </c>
      <c r="I74" s="1"/>
      <c r="J74" s="1"/>
      <c r="K74" s="1"/>
      <c r="L74" s="1"/>
      <c r="M74" s="1"/>
      <c r="N74" s="1"/>
      <c r="O74" s="1"/>
      <c r="P74" s="1"/>
      <c r="Q74" s="1"/>
    </row>
    <row r="75" spans="2:17" x14ac:dyDescent="0.55000000000000004">
      <c r="B75" s="428" t="s">
        <v>868</v>
      </c>
      <c r="C75" s="429"/>
      <c r="D75" s="430">
        <v>0.41399999999999998</v>
      </c>
      <c r="E75" s="430">
        <v>0.47700000000000004</v>
      </c>
      <c r="F75" s="430">
        <v>0.55899999999999994</v>
      </c>
      <c r="G75" s="430">
        <v>0.47</v>
      </c>
      <c r="H75" s="430">
        <v>0.63100000000000001</v>
      </c>
      <c r="I75" s="1"/>
      <c r="J75" s="1"/>
      <c r="K75" s="1"/>
      <c r="L75" s="1"/>
      <c r="M75" s="1"/>
      <c r="N75" s="1"/>
      <c r="O75" s="1"/>
      <c r="P75" s="1"/>
      <c r="Q75" s="1"/>
    </row>
    <row r="76" spans="2:17" x14ac:dyDescent="0.55000000000000004">
      <c r="B76" s="431" t="s">
        <v>869</v>
      </c>
      <c r="C76" s="432"/>
      <c r="D76" s="433">
        <v>1</v>
      </c>
      <c r="E76" s="433">
        <v>1</v>
      </c>
      <c r="F76" s="433">
        <v>1</v>
      </c>
      <c r="G76" s="433">
        <v>1</v>
      </c>
      <c r="H76" s="433">
        <v>1</v>
      </c>
      <c r="I76" s="1"/>
      <c r="J76" s="1"/>
      <c r="K76" s="1"/>
      <c r="L76" s="1"/>
      <c r="M76" s="1"/>
      <c r="N76" s="1"/>
      <c r="O76" s="1"/>
      <c r="P76" s="1"/>
      <c r="Q76" s="1"/>
    </row>
    <row r="77" spans="2:17" x14ac:dyDescent="0.55000000000000004">
      <c r="B77" s="1"/>
      <c r="C77" s="1"/>
      <c r="D77" s="1"/>
      <c r="E77" s="1"/>
      <c r="F77" s="1"/>
      <c r="G77" s="1"/>
      <c r="H77" s="1"/>
      <c r="I77" s="1"/>
      <c r="J77" s="1"/>
      <c r="K77" s="1"/>
      <c r="L77" s="1"/>
      <c r="M77" s="1"/>
      <c r="N77" s="1"/>
      <c r="O77" s="1"/>
      <c r="P77" s="1"/>
      <c r="Q77" s="1"/>
    </row>
    <row r="78" spans="2:17" x14ac:dyDescent="0.55000000000000004">
      <c r="B78" s="2"/>
      <c r="C78" s="2"/>
      <c r="D78" s="2"/>
      <c r="E78" s="2"/>
      <c r="F78" s="2"/>
      <c r="G78" s="2"/>
      <c r="H78" s="2"/>
      <c r="I78" s="1"/>
      <c r="J78" s="1"/>
      <c r="K78" s="1"/>
      <c r="L78" s="1"/>
      <c r="M78" s="1"/>
      <c r="N78" s="1"/>
      <c r="O78" s="1"/>
      <c r="P78" s="1"/>
      <c r="Q78" s="1"/>
    </row>
    <row r="79" spans="2:17" ht="17.75" x14ac:dyDescent="0.55000000000000004">
      <c r="B79" s="3" t="s">
        <v>43</v>
      </c>
      <c r="C79" s="2"/>
      <c r="D79" s="2"/>
      <c r="E79" s="2"/>
      <c r="F79" s="2"/>
      <c r="G79" s="2"/>
      <c r="H79" s="2"/>
      <c r="I79" s="1"/>
      <c r="J79" s="1"/>
      <c r="K79" s="1"/>
      <c r="L79" s="1"/>
      <c r="M79" s="1"/>
      <c r="N79" s="1"/>
      <c r="O79" s="1"/>
      <c r="P79" s="1"/>
      <c r="Q79" s="1"/>
    </row>
    <row r="80" spans="2:17" x14ac:dyDescent="0.55000000000000004">
      <c r="B80" s="2" t="s">
        <v>42</v>
      </c>
      <c r="C80" s="2"/>
      <c r="D80" s="2"/>
      <c r="E80" s="2"/>
      <c r="F80" s="2"/>
      <c r="G80" s="2"/>
      <c r="H80" s="2"/>
    </row>
    <row r="81" spans="2:8" x14ac:dyDescent="0.55000000000000004">
      <c r="B81" s="2"/>
      <c r="C81" s="2"/>
      <c r="D81" s="2"/>
      <c r="E81" s="2"/>
      <c r="F81" s="2"/>
      <c r="G81" s="2"/>
      <c r="H81" s="2"/>
    </row>
    <row r="82" spans="2:8" ht="41.4" x14ac:dyDescent="0.85">
      <c r="B82" s="355" t="s">
        <v>805</v>
      </c>
      <c r="C82" s="355"/>
      <c r="D82" s="355"/>
      <c r="E82" s="355"/>
      <c r="F82" s="355"/>
      <c r="G82" s="355"/>
      <c r="H82" s="355"/>
    </row>
    <row r="83" spans="2:8" ht="41.4" x14ac:dyDescent="0.85">
      <c r="B83" s="356" t="s">
        <v>835</v>
      </c>
      <c r="C83" s="355"/>
      <c r="D83" s="355"/>
      <c r="E83" s="355"/>
      <c r="F83" s="355"/>
      <c r="G83" s="355"/>
      <c r="H83" s="355"/>
    </row>
    <row r="84" spans="2:8" x14ac:dyDescent="0.55000000000000004">
      <c r="B84" s="2"/>
      <c r="C84" s="2"/>
      <c r="D84" s="2"/>
      <c r="E84" s="2"/>
      <c r="F84" s="2"/>
      <c r="G84" s="2"/>
      <c r="H84" s="2"/>
    </row>
    <row r="85" spans="2:8" ht="17.2" thickBot="1" x14ac:dyDescent="0.6">
      <c r="B85" s="357" t="s">
        <v>52</v>
      </c>
      <c r="C85" s="358"/>
      <c r="D85" s="358" t="s">
        <v>806</v>
      </c>
      <c r="E85" s="358" t="s">
        <v>807</v>
      </c>
      <c r="F85" s="358" t="s">
        <v>808</v>
      </c>
      <c r="G85" s="358" t="s">
        <v>809</v>
      </c>
      <c r="H85" s="358" t="s">
        <v>810</v>
      </c>
    </row>
    <row r="86" spans="2:8" x14ac:dyDescent="0.55000000000000004">
      <c r="B86" s="359" t="s">
        <v>811</v>
      </c>
      <c r="C86" s="360"/>
      <c r="D86" s="360" t="s">
        <v>871</v>
      </c>
      <c r="E86" s="360" t="s">
        <v>813</v>
      </c>
      <c r="F86" s="360" t="s">
        <v>814</v>
      </c>
      <c r="G86" s="360" t="s">
        <v>815</v>
      </c>
      <c r="H86" s="360" t="s">
        <v>816</v>
      </c>
    </row>
    <row r="87" spans="2:8" x14ac:dyDescent="0.55000000000000004">
      <c r="B87" s="361"/>
      <c r="C87" s="362"/>
      <c r="D87" s="362"/>
      <c r="E87" s="362"/>
      <c r="F87" s="362"/>
      <c r="G87" s="362"/>
      <c r="H87" s="362"/>
    </row>
    <row r="88" spans="2:8" x14ac:dyDescent="0.55000000000000004">
      <c r="B88" s="398" t="s">
        <v>836</v>
      </c>
      <c r="C88" s="399"/>
      <c r="D88" s="399"/>
      <c r="E88" s="399"/>
      <c r="F88" s="399"/>
      <c r="G88" s="399"/>
      <c r="H88" s="399"/>
    </row>
    <row r="89" spans="2:8" x14ac:dyDescent="0.55000000000000004">
      <c r="B89" s="363" t="s">
        <v>837</v>
      </c>
      <c r="C89" s="364"/>
      <c r="D89" s="364">
        <v>1783502</v>
      </c>
      <c r="E89" s="364">
        <v>1496227</v>
      </c>
      <c r="F89" s="364">
        <v>4802660</v>
      </c>
      <c r="G89" s="364">
        <v>31019621</v>
      </c>
      <c r="H89" s="364">
        <v>47857538</v>
      </c>
    </row>
    <row r="90" spans="2:8" x14ac:dyDescent="0.55000000000000004">
      <c r="B90" s="361" t="s">
        <v>838</v>
      </c>
      <c r="C90" s="362"/>
      <c r="D90" s="362">
        <v>0</v>
      </c>
      <c r="E90" s="362">
        <v>0</v>
      </c>
      <c r="F90" s="362">
        <v>0</v>
      </c>
      <c r="G90" s="362">
        <v>0</v>
      </c>
      <c r="H90" s="362">
        <v>541194</v>
      </c>
    </row>
    <row r="91" spans="2:8" x14ac:dyDescent="0.55000000000000004">
      <c r="B91" s="363" t="s">
        <v>839</v>
      </c>
      <c r="C91" s="364"/>
      <c r="D91" s="364">
        <v>19135804</v>
      </c>
      <c r="E91" s="364">
        <v>20979830</v>
      </c>
      <c r="F91" s="364">
        <v>11042129</v>
      </c>
      <c r="G91" s="364">
        <v>25221244</v>
      </c>
      <c r="H91" s="364">
        <v>45525488</v>
      </c>
    </row>
    <row r="92" spans="2:8" x14ac:dyDescent="0.55000000000000004">
      <c r="B92" s="361" t="s">
        <v>840</v>
      </c>
      <c r="C92" s="362"/>
      <c r="D92" s="362">
        <v>9498768</v>
      </c>
      <c r="E92" s="362">
        <v>14494869</v>
      </c>
      <c r="F92" s="362">
        <v>41191145</v>
      </c>
      <c r="G92" s="362">
        <v>38619725</v>
      </c>
      <c r="H92" s="362">
        <v>73326107</v>
      </c>
    </row>
    <row r="93" spans="2:8" x14ac:dyDescent="0.55000000000000004">
      <c r="B93" s="363" t="s">
        <v>841</v>
      </c>
      <c r="C93" s="364"/>
      <c r="D93" s="364">
        <v>28135</v>
      </c>
      <c r="E93" s="364">
        <v>42237</v>
      </c>
      <c r="F93" s="364">
        <v>93235</v>
      </c>
      <c r="G93" s="364">
        <v>164334</v>
      </c>
      <c r="H93" s="364">
        <v>229635</v>
      </c>
    </row>
    <row r="94" spans="2:8" x14ac:dyDescent="0.55000000000000004">
      <c r="B94" s="361" t="s">
        <v>872</v>
      </c>
      <c r="C94" s="362"/>
      <c r="D94" s="362">
        <v>0</v>
      </c>
      <c r="E94" s="362">
        <v>0</v>
      </c>
      <c r="F94" s="362">
        <v>0</v>
      </c>
      <c r="G94" s="362">
        <v>0</v>
      </c>
      <c r="H94" s="362">
        <v>0</v>
      </c>
    </row>
    <row r="95" spans="2:8" x14ac:dyDescent="0.55000000000000004">
      <c r="B95" s="365" t="s">
        <v>843</v>
      </c>
      <c r="C95" s="366"/>
      <c r="D95" s="366">
        <v>30446209</v>
      </c>
      <c r="E95" s="366">
        <v>37013163</v>
      </c>
      <c r="F95" s="366">
        <v>57129169</v>
      </c>
      <c r="G95" s="366">
        <v>95024924</v>
      </c>
      <c r="H95" s="366">
        <v>167479962</v>
      </c>
    </row>
    <row r="96" spans="2:8" x14ac:dyDescent="0.55000000000000004">
      <c r="B96" s="361" t="s">
        <v>873</v>
      </c>
      <c r="C96" s="362"/>
      <c r="D96" s="362">
        <v>0</v>
      </c>
      <c r="E96" s="362">
        <v>0</v>
      </c>
      <c r="F96" s="362">
        <v>186190</v>
      </c>
      <c r="G96" s="362">
        <v>151223</v>
      </c>
      <c r="H96" s="362">
        <v>198975</v>
      </c>
    </row>
    <row r="97" spans="2:8" x14ac:dyDescent="0.55000000000000004">
      <c r="B97" s="363" t="s">
        <v>845</v>
      </c>
      <c r="C97" s="364"/>
      <c r="D97" s="364">
        <v>0</v>
      </c>
      <c r="E97" s="364">
        <v>0</v>
      </c>
      <c r="F97" s="364">
        <v>1050</v>
      </c>
      <c r="G97" s="364">
        <v>33000</v>
      </c>
      <c r="H97" s="364">
        <v>13170314</v>
      </c>
    </row>
    <row r="98" spans="2:8" x14ac:dyDescent="0.55000000000000004">
      <c r="B98" s="361" t="s">
        <v>874</v>
      </c>
      <c r="C98" s="362"/>
      <c r="D98" s="362">
        <v>0</v>
      </c>
      <c r="E98" s="362">
        <v>0</v>
      </c>
      <c r="F98" s="362">
        <v>0</v>
      </c>
      <c r="G98" s="362">
        <v>0</v>
      </c>
      <c r="H98" s="362">
        <v>0</v>
      </c>
    </row>
    <row r="99" spans="2:8" x14ac:dyDescent="0.55000000000000004">
      <c r="B99" s="363" t="s">
        <v>847</v>
      </c>
      <c r="C99" s="364"/>
      <c r="D99" s="364">
        <v>25826840</v>
      </c>
      <c r="E99" s="364">
        <v>36744357</v>
      </c>
      <c r="F99" s="364">
        <v>58184958</v>
      </c>
      <c r="G99" s="364">
        <v>80058502</v>
      </c>
      <c r="H99" s="364">
        <v>111900439</v>
      </c>
    </row>
    <row r="100" spans="2:8" x14ac:dyDescent="0.55000000000000004">
      <c r="B100" s="361" t="s">
        <v>848</v>
      </c>
      <c r="C100" s="362"/>
      <c r="D100" s="362">
        <v>1776234</v>
      </c>
      <c r="E100" s="362">
        <v>2604009</v>
      </c>
      <c r="F100" s="362">
        <v>505623</v>
      </c>
      <c r="G100" s="362">
        <v>660461</v>
      </c>
      <c r="H100" s="362">
        <v>669112</v>
      </c>
    </row>
    <row r="101" spans="2:8" x14ac:dyDescent="0.55000000000000004">
      <c r="B101" s="363" t="s">
        <v>875</v>
      </c>
      <c r="C101" s="364"/>
      <c r="D101" s="364" t="s">
        <v>23</v>
      </c>
      <c r="E101" s="364" t="s">
        <v>23</v>
      </c>
      <c r="F101" s="364" t="s">
        <v>23</v>
      </c>
      <c r="G101" s="364" t="s">
        <v>23</v>
      </c>
      <c r="H101" s="364" t="s">
        <v>23</v>
      </c>
    </row>
    <row r="102" spans="2:8" x14ac:dyDescent="0.55000000000000004">
      <c r="B102" s="361" t="s">
        <v>844</v>
      </c>
      <c r="C102" s="362"/>
      <c r="D102" s="362">
        <v>0</v>
      </c>
      <c r="E102" s="362">
        <v>0</v>
      </c>
      <c r="F102" s="362">
        <v>3284878</v>
      </c>
      <c r="G102" s="362">
        <v>3049666</v>
      </c>
      <c r="H102" s="362">
        <v>2634541</v>
      </c>
    </row>
    <row r="103" spans="2:8" x14ac:dyDescent="0.55000000000000004">
      <c r="B103" s="365" t="s">
        <v>851</v>
      </c>
      <c r="C103" s="366"/>
      <c r="D103" s="366">
        <v>27603074</v>
      </c>
      <c r="E103" s="366">
        <v>39348366</v>
      </c>
      <c r="F103" s="366">
        <v>62162699</v>
      </c>
      <c r="G103" s="366">
        <v>83952852</v>
      </c>
      <c r="H103" s="366">
        <v>128573381</v>
      </c>
    </row>
    <row r="104" spans="2:8" x14ac:dyDescent="0.55000000000000004">
      <c r="B104" s="367" t="s">
        <v>846</v>
      </c>
      <c r="C104" s="368"/>
      <c r="D104" s="368">
        <v>58049283</v>
      </c>
      <c r="E104" s="368">
        <v>76361529</v>
      </c>
      <c r="F104" s="368">
        <v>119291868</v>
      </c>
      <c r="G104" s="368">
        <v>178977776</v>
      </c>
      <c r="H104" s="368">
        <v>296053343</v>
      </c>
    </row>
    <row r="105" spans="2:8" x14ac:dyDescent="0.55000000000000004">
      <c r="B105" s="398" t="s">
        <v>854</v>
      </c>
      <c r="C105" s="399"/>
      <c r="D105" s="399"/>
      <c r="E105" s="399"/>
      <c r="F105" s="399"/>
      <c r="G105" s="399"/>
      <c r="H105" s="399"/>
    </row>
    <row r="106" spans="2:8" x14ac:dyDescent="0.55000000000000004">
      <c r="B106" s="363" t="s">
        <v>849</v>
      </c>
      <c r="C106" s="364"/>
      <c r="D106" s="364">
        <v>13149615</v>
      </c>
      <c r="E106" s="364">
        <v>18228576</v>
      </c>
      <c r="F106" s="364">
        <v>13407673</v>
      </c>
      <c r="G106" s="364">
        <v>65748830</v>
      </c>
      <c r="H106" s="364">
        <v>34328726</v>
      </c>
    </row>
    <row r="107" spans="2:8" x14ac:dyDescent="0.55000000000000004">
      <c r="B107" s="361" t="s">
        <v>876</v>
      </c>
      <c r="C107" s="362"/>
      <c r="D107" s="362" t="s">
        <v>23</v>
      </c>
      <c r="E107" s="362" t="s">
        <v>23</v>
      </c>
      <c r="F107" s="362" t="s">
        <v>23</v>
      </c>
      <c r="G107" s="362" t="s">
        <v>23</v>
      </c>
      <c r="H107" s="362" t="s">
        <v>23</v>
      </c>
    </row>
    <row r="108" spans="2:8" x14ac:dyDescent="0.55000000000000004">
      <c r="B108" s="363" t="s">
        <v>856</v>
      </c>
      <c r="C108" s="364"/>
      <c r="D108" s="364">
        <v>0</v>
      </c>
      <c r="E108" s="364">
        <v>330541</v>
      </c>
      <c r="F108" s="364">
        <v>2648328</v>
      </c>
      <c r="G108" s="364">
        <v>985038</v>
      </c>
      <c r="H108" s="364">
        <v>2357210</v>
      </c>
    </row>
    <row r="109" spans="2:8" x14ac:dyDescent="0.55000000000000004">
      <c r="B109" s="361" t="s">
        <v>850</v>
      </c>
      <c r="C109" s="362"/>
      <c r="D109" s="362">
        <v>5933425</v>
      </c>
      <c r="E109" s="362">
        <v>5894131</v>
      </c>
      <c r="F109" s="362">
        <v>6117547</v>
      </c>
      <c r="G109" s="362">
        <v>2012969</v>
      </c>
      <c r="H109" s="362">
        <v>16084918</v>
      </c>
    </row>
    <row r="110" spans="2:8" x14ac:dyDescent="0.55000000000000004">
      <c r="B110" s="363" t="s">
        <v>852</v>
      </c>
      <c r="C110" s="364"/>
      <c r="D110" s="364">
        <v>105701</v>
      </c>
      <c r="E110" s="364">
        <v>83432</v>
      </c>
      <c r="F110" s="364">
        <v>20048</v>
      </c>
      <c r="G110" s="364">
        <v>39466</v>
      </c>
      <c r="H110" s="364">
        <v>193342</v>
      </c>
    </row>
    <row r="111" spans="2:8" x14ac:dyDescent="0.55000000000000004">
      <c r="B111" s="361" t="s">
        <v>859</v>
      </c>
      <c r="C111" s="362"/>
      <c r="D111" s="362">
        <v>0</v>
      </c>
      <c r="E111" s="362">
        <v>161591</v>
      </c>
      <c r="F111" s="362">
        <v>0</v>
      </c>
      <c r="G111" s="362">
        <v>0</v>
      </c>
      <c r="H111" s="362">
        <v>2088767</v>
      </c>
    </row>
    <row r="112" spans="2:8" x14ac:dyDescent="0.55000000000000004">
      <c r="B112" s="363" t="s">
        <v>877</v>
      </c>
      <c r="C112" s="364"/>
      <c r="D112" s="364">
        <v>509115</v>
      </c>
      <c r="E112" s="364">
        <v>596616</v>
      </c>
      <c r="F112" s="364">
        <v>689705</v>
      </c>
      <c r="G112" s="364">
        <v>866420</v>
      </c>
      <c r="H112" s="364">
        <v>1154318</v>
      </c>
    </row>
    <row r="113" spans="2:8" x14ac:dyDescent="0.55000000000000004">
      <c r="B113" s="361" t="s">
        <v>878</v>
      </c>
      <c r="C113" s="362"/>
      <c r="D113" s="362">
        <v>0</v>
      </c>
      <c r="E113" s="362">
        <v>0</v>
      </c>
      <c r="F113" s="362">
        <v>0</v>
      </c>
      <c r="G113" s="362">
        <v>0</v>
      </c>
      <c r="H113" s="362">
        <v>0</v>
      </c>
    </row>
    <row r="114" spans="2:8" x14ac:dyDescent="0.55000000000000004">
      <c r="B114" s="365" t="s">
        <v>860</v>
      </c>
      <c r="C114" s="366"/>
      <c r="D114" s="366">
        <v>19697856</v>
      </c>
      <c r="E114" s="366">
        <v>25294887</v>
      </c>
      <c r="F114" s="366">
        <v>22883301</v>
      </c>
      <c r="G114" s="366">
        <v>69652723</v>
      </c>
      <c r="H114" s="366">
        <v>56207281</v>
      </c>
    </row>
    <row r="115" spans="2:8" x14ac:dyDescent="0.55000000000000004">
      <c r="B115" s="361" t="s">
        <v>862</v>
      </c>
      <c r="C115" s="362"/>
      <c r="D115" s="362">
        <v>3322934</v>
      </c>
      <c r="E115" s="362">
        <v>3815460</v>
      </c>
      <c r="F115" s="362">
        <v>4187287</v>
      </c>
      <c r="G115" s="362">
        <v>4259230</v>
      </c>
      <c r="H115" s="362">
        <v>9905491</v>
      </c>
    </row>
    <row r="116" spans="2:8" x14ac:dyDescent="0.55000000000000004">
      <c r="B116" s="363" t="s">
        <v>879</v>
      </c>
      <c r="C116" s="364"/>
      <c r="D116" s="364">
        <v>0</v>
      </c>
      <c r="E116" s="364">
        <v>0</v>
      </c>
      <c r="F116" s="364" t="s">
        <v>23</v>
      </c>
      <c r="G116" s="364" t="s">
        <v>23</v>
      </c>
      <c r="H116" s="364" t="s">
        <v>23</v>
      </c>
    </row>
    <row r="117" spans="2:8" x14ac:dyDescent="0.55000000000000004">
      <c r="B117" s="361" t="s">
        <v>880</v>
      </c>
      <c r="C117" s="362"/>
      <c r="D117" s="362">
        <v>0</v>
      </c>
      <c r="E117" s="362">
        <v>0</v>
      </c>
      <c r="F117" s="362">
        <v>0</v>
      </c>
      <c r="G117" s="362">
        <v>0</v>
      </c>
      <c r="H117" s="362">
        <v>2876066</v>
      </c>
    </row>
    <row r="118" spans="2:8" x14ac:dyDescent="0.55000000000000004">
      <c r="B118" s="363" t="s">
        <v>863</v>
      </c>
      <c r="C118" s="364"/>
      <c r="D118" s="364">
        <v>727753</v>
      </c>
      <c r="E118" s="364">
        <v>864817</v>
      </c>
      <c r="F118" s="364">
        <v>1060971</v>
      </c>
      <c r="G118" s="364">
        <v>1380883</v>
      </c>
      <c r="H118" s="364">
        <v>2083400</v>
      </c>
    </row>
    <row r="119" spans="2:8" x14ac:dyDescent="0.55000000000000004">
      <c r="B119" s="367" t="s">
        <v>864</v>
      </c>
      <c r="C119" s="368"/>
      <c r="D119" s="368">
        <v>4050687</v>
      </c>
      <c r="E119" s="368">
        <v>4680277</v>
      </c>
      <c r="F119" s="368">
        <v>5248258</v>
      </c>
      <c r="G119" s="368">
        <v>5640113</v>
      </c>
      <c r="H119" s="368">
        <v>14864957</v>
      </c>
    </row>
    <row r="120" spans="2:8" x14ac:dyDescent="0.55000000000000004">
      <c r="B120" s="365" t="s">
        <v>865</v>
      </c>
      <c r="C120" s="366"/>
      <c r="D120" s="366">
        <v>23748543</v>
      </c>
      <c r="E120" s="366">
        <v>29975164</v>
      </c>
      <c r="F120" s="366">
        <v>28131559</v>
      </c>
      <c r="G120" s="366">
        <v>75292836</v>
      </c>
      <c r="H120" s="366">
        <v>71072238</v>
      </c>
    </row>
    <row r="121" spans="2:8" x14ac:dyDescent="0.55000000000000004">
      <c r="B121" s="398" t="s">
        <v>866</v>
      </c>
      <c r="C121" s="399"/>
      <c r="D121" s="399"/>
      <c r="E121" s="399"/>
      <c r="F121" s="399"/>
      <c r="G121" s="399"/>
      <c r="H121" s="399"/>
    </row>
    <row r="122" spans="2:8" x14ac:dyDescent="0.55000000000000004">
      <c r="B122" s="363" t="s">
        <v>66</v>
      </c>
      <c r="C122" s="364"/>
      <c r="D122" s="364">
        <v>20000000</v>
      </c>
      <c r="E122" s="364">
        <v>20000000</v>
      </c>
      <c r="F122" s="364">
        <v>20000000</v>
      </c>
      <c r="G122" s="364">
        <v>51000000</v>
      </c>
      <c r="H122" s="364">
        <v>76000000</v>
      </c>
    </row>
    <row r="123" spans="2:8" x14ac:dyDescent="0.55000000000000004">
      <c r="B123" s="361" t="s">
        <v>881</v>
      </c>
      <c r="C123" s="362"/>
      <c r="D123" s="362">
        <v>0</v>
      </c>
      <c r="E123" s="362">
        <v>0</v>
      </c>
      <c r="F123" s="362">
        <v>0</v>
      </c>
      <c r="G123" s="362">
        <v>0</v>
      </c>
      <c r="H123" s="362">
        <v>0</v>
      </c>
    </row>
    <row r="124" spans="2:8" x14ac:dyDescent="0.55000000000000004">
      <c r="B124" s="363" t="s">
        <v>882</v>
      </c>
      <c r="C124" s="364"/>
      <c r="D124" s="364">
        <v>0</v>
      </c>
      <c r="E124" s="364">
        <v>0</v>
      </c>
      <c r="F124" s="364">
        <v>0</v>
      </c>
      <c r="G124" s="364">
        <v>0</v>
      </c>
      <c r="H124" s="364">
        <v>0</v>
      </c>
    </row>
    <row r="125" spans="2:8" x14ac:dyDescent="0.55000000000000004">
      <c r="B125" s="361" t="s">
        <v>883</v>
      </c>
      <c r="C125" s="362"/>
      <c r="D125" s="362">
        <v>0</v>
      </c>
      <c r="E125" s="362">
        <v>0</v>
      </c>
      <c r="F125" s="362">
        <v>0</v>
      </c>
      <c r="G125" s="362">
        <v>0</v>
      </c>
      <c r="H125" s="362">
        <v>-6402626</v>
      </c>
    </row>
    <row r="126" spans="2:8" x14ac:dyDescent="0.55000000000000004">
      <c r="B126" s="363" t="s">
        <v>884</v>
      </c>
      <c r="C126" s="364"/>
      <c r="D126" s="364" t="s">
        <v>23</v>
      </c>
      <c r="E126" s="364" t="s">
        <v>23</v>
      </c>
      <c r="F126" s="364">
        <v>0</v>
      </c>
      <c r="G126" s="364">
        <v>0</v>
      </c>
      <c r="H126" s="364">
        <v>0</v>
      </c>
    </row>
    <row r="127" spans="2:8" x14ac:dyDescent="0.55000000000000004">
      <c r="B127" s="361" t="s">
        <v>867</v>
      </c>
      <c r="C127" s="362"/>
      <c r="D127" s="362">
        <v>1663467</v>
      </c>
      <c r="E127" s="362">
        <v>2000000</v>
      </c>
      <c r="F127" s="362">
        <v>2000000</v>
      </c>
      <c r="G127" s="362">
        <v>3426232</v>
      </c>
      <c r="H127" s="362">
        <v>7600000</v>
      </c>
    </row>
    <row r="128" spans="2:8" x14ac:dyDescent="0.55000000000000004">
      <c r="B128" s="363" t="s">
        <v>857</v>
      </c>
      <c r="C128" s="364"/>
      <c r="D128" s="364">
        <v>7488576</v>
      </c>
      <c r="E128" s="364">
        <v>12832906</v>
      </c>
      <c r="F128" s="364">
        <v>28064661</v>
      </c>
      <c r="G128" s="364">
        <v>8622050</v>
      </c>
      <c r="H128" s="364">
        <v>0</v>
      </c>
    </row>
    <row r="129" spans="2:8" x14ac:dyDescent="0.55000000000000004">
      <c r="B129" s="361" t="s">
        <v>885</v>
      </c>
      <c r="C129" s="362"/>
      <c r="D129" s="362">
        <v>0</v>
      </c>
      <c r="E129" s="362">
        <v>0</v>
      </c>
      <c r="F129" s="362" t="s">
        <v>23</v>
      </c>
      <c r="G129" s="362" t="s">
        <v>23</v>
      </c>
      <c r="H129" s="362" t="s">
        <v>23</v>
      </c>
    </row>
    <row r="130" spans="2:8" x14ac:dyDescent="0.55000000000000004">
      <c r="B130" s="363" t="s">
        <v>886</v>
      </c>
      <c r="C130" s="364"/>
      <c r="D130" s="364">
        <v>0</v>
      </c>
      <c r="E130" s="364">
        <v>0</v>
      </c>
      <c r="F130" s="364">
        <v>0</v>
      </c>
      <c r="G130" s="364">
        <v>0</v>
      </c>
      <c r="H130" s="364">
        <v>0</v>
      </c>
    </row>
    <row r="131" spans="2:8" x14ac:dyDescent="0.55000000000000004">
      <c r="B131" s="361" t="s">
        <v>887</v>
      </c>
      <c r="C131" s="362"/>
      <c r="D131" s="362">
        <v>0</v>
      </c>
      <c r="E131" s="362">
        <v>0</v>
      </c>
      <c r="F131" s="362" t="s">
        <v>23</v>
      </c>
      <c r="G131" s="362" t="s">
        <v>23</v>
      </c>
      <c r="H131" s="362" t="s">
        <v>23</v>
      </c>
    </row>
    <row r="132" spans="2:8" x14ac:dyDescent="0.55000000000000004">
      <c r="B132" s="363" t="s">
        <v>888</v>
      </c>
      <c r="C132" s="364"/>
      <c r="D132" s="364">
        <v>0</v>
      </c>
      <c r="E132" s="364">
        <v>0</v>
      </c>
      <c r="F132" s="364">
        <v>0</v>
      </c>
      <c r="G132" s="364">
        <v>0</v>
      </c>
      <c r="H132" s="364">
        <v>0</v>
      </c>
    </row>
    <row r="133" spans="2:8" x14ac:dyDescent="0.55000000000000004">
      <c r="B133" s="361" t="s">
        <v>858</v>
      </c>
      <c r="C133" s="362"/>
      <c r="D133" s="362">
        <v>5148697</v>
      </c>
      <c r="E133" s="362">
        <v>11553459</v>
      </c>
      <c r="F133" s="362">
        <v>41095648</v>
      </c>
      <c r="G133" s="362">
        <v>40636658</v>
      </c>
      <c r="H133" s="362">
        <v>147783731</v>
      </c>
    </row>
    <row r="134" spans="2:8" x14ac:dyDescent="0.55000000000000004">
      <c r="B134" s="365" t="s">
        <v>868</v>
      </c>
      <c r="C134" s="366"/>
      <c r="D134" s="366">
        <v>34300740</v>
      </c>
      <c r="E134" s="366">
        <v>46386365</v>
      </c>
      <c r="F134" s="366">
        <v>91160309</v>
      </c>
      <c r="G134" s="366">
        <v>103684940</v>
      </c>
      <c r="H134" s="366">
        <v>224981105</v>
      </c>
    </row>
    <row r="135" spans="2:8" x14ac:dyDescent="0.55000000000000004">
      <c r="B135" s="367" t="s">
        <v>869</v>
      </c>
      <c r="C135" s="368"/>
      <c r="D135" s="368">
        <v>58049283</v>
      </c>
      <c r="E135" s="368">
        <v>76361529</v>
      </c>
      <c r="F135" s="368">
        <v>119291868</v>
      </c>
      <c r="G135" s="368">
        <v>178977776</v>
      </c>
      <c r="H135" s="368">
        <v>296053343</v>
      </c>
    </row>
    <row r="137" spans="2:8" x14ac:dyDescent="0.55000000000000004">
      <c r="B137" s="2"/>
      <c r="C137" s="2"/>
      <c r="D137" s="2"/>
      <c r="E137" s="2"/>
      <c r="F137" s="2"/>
      <c r="G137" s="2"/>
      <c r="H137" s="2"/>
    </row>
    <row r="138" spans="2:8" ht="17.75" x14ac:dyDescent="0.55000000000000004">
      <c r="B138" s="3" t="s">
        <v>43</v>
      </c>
      <c r="C138" s="2"/>
      <c r="D138" s="2"/>
      <c r="E138" s="2"/>
      <c r="F138" s="2"/>
      <c r="G138" s="2"/>
      <c r="H138" s="2"/>
    </row>
    <row r="139" spans="2:8" x14ac:dyDescent="0.55000000000000004">
      <c r="B139" s="2" t="s">
        <v>42</v>
      </c>
      <c r="C139" s="2"/>
      <c r="D139" s="2"/>
      <c r="E139" s="2"/>
      <c r="F139" s="2"/>
      <c r="G139" s="2"/>
      <c r="H139" s="2"/>
    </row>
    <row r="140" spans="2:8" x14ac:dyDescent="0.55000000000000004">
      <c r="B140" s="2"/>
      <c r="C140" s="2"/>
      <c r="D140" s="2"/>
      <c r="E140" s="2"/>
      <c r="F140" s="2"/>
      <c r="G140" s="2"/>
      <c r="H140" s="2"/>
    </row>
    <row r="141" spans="2:8" ht="41.4" x14ac:dyDescent="0.85">
      <c r="B141" s="355" t="s">
        <v>818</v>
      </c>
      <c r="C141" s="355"/>
      <c r="D141" s="355"/>
      <c r="E141" s="355"/>
      <c r="F141" s="355"/>
      <c r="G141" s="355"/>
      <c r="H141" s="355"/>
    </row>
    <row r="142" spans="2:8" ht="41.4" x14ac:dyDescent="0.85">
      <c r="B142" s="356" t="s">
        <v>835</v>
      </c>
      <c r="C142" s="355"/>
      <c r="D142" s="355"/>
      <c r="E142" s="355"/>
      <c r="F142" s="355"/>
      <c r="G142" s="355"/>
      <c r="H142" s="355"/>
    </row>
    <row r="143" spans="2:8" x14ac:dyDescent="0.55000000000000004">
      <c r="B143" s="2"/>
      <c r="C143" s="2"/>
      <c r="D143" s="2"/>
      <c r="E143" s="2"/>
      <c r="F143" s="2"/>
      <c r="G143" s="2"/>
      <c r="H143" s="2"/>
    </row>
    <row r="144" spans="2:8" ht="17.2" thickBot="1" x14ac:dyDescent="0.6">
      <c r="B144" s="357" t="s">
        <v>52</v>
      </c>
      <c r="C144" s="358"/>
      <c r="D144" s="358" t="s">
        <v>806</v>
      </c>
      <c r="E144" s="358" t="s">
        <v>807</v>
      </c>
      <c r="F144" s="358" t="s">
        <v>808</v>
      </c>
      <c r="G144" s="358" t="s">
        <v>809</v>
      </c>
      <c r="H144" s="358" t="s">
        <v>810</v>
      </c>
    </row>
    <row r="145" spans="2:8" x14ac:dyDescent="0.55000000000000004">
      <c r="B145" s="359" t="s">
        <v>811</v>
      </c>
      <c r="C145" s="360"/>
      <c r="D145" s="360" t="s">
        <v>889</v>
      </c>
      <c r="E145" s="360" t="s">
        <v>820</v>
      </c>
      <c r="F145" s="360" t="s">
        <v>821</v>
      </c>
      <c r="G145" s="360" t="s">
        <v>822</v>
      </c>
      <c r="H145" s="360" t="s">
        <v>823</v>
      </c>
    </row>
    <row r="146" spans="2:8" x14ac:dyDescent="0.55000000000000004">
      <c r="B146" s="361"/>
      <c r="C146" s="362"/>
      <c r="D146" s="362"/>
      <c r="E146" s="362"/>
      <c r="F146" s="362"/>
      <c r="G146" s="362"/>
      <c r="H146" s="362"/>
    </row>
    <row r="147" spans="2:8" x14ac:dyDescent="0.55000000000000004">
      <c r="B147" s="398" t="s">
        <v>836</v>
      </c>
      <c r="C147" s="399"/>
      <c r="D147" s="399"/>
      <c r="E147" s="399"/>
      <c r="F147" s="399"/>
      <c r="G147" s="399"/>
      <c r="H147" s="399"/>
    </row>
    <row r="148" spans="2:8" x14ac:dyDescent="0.55000000000000004">
      <c r="B148" s="363" t="s">
        <v>837</v>
      </c>
      <c r="C148" s="364"/>
      <c r="D148" s="364">
        <v>209637</v>
      </c>
      <c r="E148" s="364">
        <v>524387</v>
      </c>
      <c r="F148" s="364">
        <v>3376679</v>
      </c>
      <c r="G148" s="364">
        <v>2376460</v>
      </c>
      <c r="H148" s="364">
        <v>4825238</v>
      </c>
    </row>
    <row r="149" spans="2:8" x14ac:dyDescent="0.55000000000000004">
      <c r="B149" s="361" t="s">
        <v>838</v>
      </c>
      <c r="C149" s="362"/>
      <c r="D149" s="362">
        <v>0</v>
      </c>
      <c r="E149" s="362">
        <v>0</v>
      </c>
      <c r="F149" s="362">
        <v>373772</v>
      </c>
      <c r="G149" s="362">
        <v>300000</v>
      </c>
      <c r="H149" s="362">
        <v>3310651</v>
      </c>
    </row>
    <row r="150" spans="2:8" x14ac:dyDescent="0.55000000000000004">
      <c r="B150" s="363" t="s">
        <v>839</v>
      </c>
      <c r="C150" s="364"/>
      <c r="D150" s="364">
        <v>1830724</v>
      </c>
      <c r="E150" s="364">
        <v>5320152</v>
      </c>
      <c r="F150" s="364">
        <v>3177062</v>
      </c>
      <c r="G150" s="364">
        <v>2062669</v>
      </c>
      <c r="H150" s="364">
        <v>40553021</v>
      </c>
    </row>
    <row r="151" spans="2:8" x14ac:dyDescent="0.55000000000000004">
      <c r="B151" s="361" t="s">
        <v>840</v>
      </c>
      <c r="C151" s="362"/>
      <c r="D151" s="362">
        <v>3612692</v>
      </c>
      <c r="E151" s="362">
        <v>5080430</v>
      </c>
      <c r="F151" s="362">
        <v>14452703</v>
      </c>
      <c r="G151" s="362">
        <v>12289759</v>
      </c>
      <c r="H151" s="362">
        <v>19831431</v>
      </c>
    </row>
    <row r="152" spans="2:8" x14ac:dyDescent="0.55000000000000004">
      <c r="B152" s="363" t="s">
        <v>841</v>
      </c>
      <c r="C152" s="364"/>
      <c r="D152" s="364">
        <v>143996</v>
      </c>
      <c r="E152" s="364">
        <v>203186</v>
      </c>
      <c r="F152" s="364">
        <v>170906</v>
      </c>
      <c r="G152" s="364">
        <v>649624</v>
      </c>
      <c r="H152" s="364">
        <v>676529</v>
      </c>
    </row>
    <row r="153" spans="2:8" x14ac:dyDescent="0.55000000000000004">
      <c r="B153" s="361" t="s">
        <v>872</v>
      </c>
      <c r="C153" s="362"/>
      <c r="D153" s="362">
        <v>0</v>
      </c>
      <c r="E153" s="362">
        <v>0</v>
      </c>
      <c r="F153" s="362">
        <v>0</v>
      </c>
      <c r="G153" s="362">
        <v>0</v>
      </c>
      <c r="H153" s="362">
        <v>0</v>
      </c>
    </row>
    <row r="154" spans="2:8" x14ac:dyDescent="0.55000000000000004">
      <c r="B154" s="365" t="s">
        <v>843</v>
      </c>
      <c r="C154" s="366"/>
      <c r="D154" s="366">
        <v>5797049</v>
      </c>
      <c r="E154" s="366">
        <v>11128155</v>
      </c>
      <c r="F154" s="366">
        <v>21551122</v>
      </c>
      <c r="G154" s="366">
        <v>17678512</v>
      </c>
      <c r="H154" s="366">
        <v>69196870</v>
      </c>
    </row>
    <row r="155" spans="2:8" x14ac:dyDescent="0.55000000000000004">
      <c r="B155" s="361" t="s">
        <v>873</v>
      </c>
      <c r="C155" s="362"/>
      <c r="D155" s="362">
        <v>0</v>
      </c>
      <c r="E155" s="362">
        <v>0</v>
      </c>
      <c r="F155" s="362">
        <v>0</v>
      </c>
      <c r="G155" s="362">
        <v>0</v>
      </c>
      <c r="H155" s="362">
        <v>0</v>
      </c>
    </row>
    <row r="156" spans="2:8" x14ac:dyDescent="0.55000000000000004">
      <c r="B156" s="363" t="s">
        <v>845</v>
      </c>
      <c r="C156" s="364"/>
      <c r="D156" s="364">
        <v>10061159</v>
      </c>
      <c r="E156" s="364">
        <v>10061159</v>
      </c>
      <c r="F156" s="364">
        <v>10116039</v>
      </c>
      <c r="G156" s="364">
        <v>10116039</v>
      </c>
      <c r="H156" s="364">
        <v>9959159</v>
      </c>
    </row>
    <row r="157" spans="2:8" x14ac:dyDescent="0.55000000000000004">
      <c r="B157" s="361" t="s">
        <v>874</v>
      </c>
      <c r="C157" s="362"/>
      <c r="D157" s="362">
        <v>0</v>
      </c>
      <c r="E157" s="362">
        <v>0</v>
      </c>
      <c r="F157" s="362">
        <v>0</v>
      </c>
      <c r="G157" s="362">
        <v>0</v>
      </c>
      <c r="H157" s="362">
        <v>0</v>
      </c>
    </row>
    <row r="158" spans="2:8" x14ac:dyDescent="0.55000000000000004">
      <c r="B158" s="363" t="s">
        <v>847</v>
      </c>
      <c r="C158" s="364"/>
      <c r="D158" s="364">
        <v>7187858</v>
      </c>
      <c r="E158" s="364">
        <v>8460356</v>
      </c>
      <c r="F158" s="364">
        <v>10229365</v>
      </c>
      <c r="G158" s="364">
        <v>10746601</v>
      </c>
      <c r="H158" s="364">
        <v>15245782</v>
      </c>
    </row>
    <row r="159" spans="2:8" x14ac:dyDescent="0.55000000000000004">
      <c r="B159" s="361" t="s">
        <v>848</v>
      </c>
      <c r="C159" s="362"/>
      <c r="D159" s="362">
        <v>3597</v>
      </c>
      <c r="E159" s="362">
        <v>3415</v>
      </c>
      <c r="F159" s="362">
        <v>3618</v>
      </c>
      <c r="G159" s="362">
        <v>4275</v>
      </c>
      <c r="H159" s="362">
        <v>4496</v>
      </c>
    </row>
    <row r="160" spans="2:8" x14ac:dyDescent="0.55000000000000004">
      <c r="B160" s="363" t="s">
        <v>875</v>
      </c>
      <c r="C160" s="364"/>
      <c r="D160" s="364" t="s">
        <v>23</v>
      </c>
      <c r="E160" s="364" t="s">
        <v>23</v>
      </c>
      <c r="F160" s="364" t="s">
        <v>23</v>
      </c>
      <c r="G160" s="364" t="s">
        <v>23</v>
      </c>
      <c r="H160" s="364" t="s">
        <v>23</v>
      </c>
    </row>
    <row r="161" spans="2:8" x14ac:dyDescent="0.55000000000000004">
      <c r="B161" s="361" t="s">
        <v>844</v>
      </c>
      <c r="C161" s="362"/>
      <c r="D161" s="362">
        <v>51000</v>
      </c>
      <c r="E161" s="362">
        <v>232641</v>
      </c>
      <c r="F161" s="362">
        <v>45600</v>
      </c>
      <c r="G161" s="362">
        <v>102800</v>
      </c>
      <c r="H161" s="362">
        <v>173800</v>
      </c>
    </row>
    <row r="162" spans="2:8" x14ac:dyDescent="0.55000000000000004">
      <c r="B162" s="365" t="s">
        <v>851</v>
      </c>
      <c r="C162" s="366"/>
      <c r="D162" s="366">
        <v>17303614</v>
      </c>
      <c r="E162" s="366">
        <v>18757571</v>
      </c>
      <c r="F162" s="366">
        <v>20394622</v>
      </c>
      <c r="G162" s="366">
        <v>20969715</v>
      </c>
      <c r="H162" s="366">
        <v>25383237</v>
      </c>
    </row>
    <row r="163" spans="2:8" x14ac:dyDescent="0.55000000000000004">
      <c r="B163" s="367" t="s">
        <v>846</v>
      </c>
      <c r="C163" s="368"/>
      <c r="D163" s="368">
        <v>23100663</v>
      </c>
      <c r="E163" s="368">
        <v>29885726</v>
      </c>
      <c r="F163" s="368">
        <v>41945744</v>
      </c>
      <c r="G163" s="368">
        <v>38648227</v>
      </c>
      <c r="H163" s="368">
        <v>94580107</v>
      </c>
    </row>
    <row r="164" spans="2:8" x14ac:dyDescent="0.55000000000000004">
      <c r="B164" s="398" t="s">
        <v>854</v>
      </c>
      <c r="C164" s="399"/>
      <c r="D164" s="399"/>
      <c r="E164" s="399"/>
      <c r="F164" s="399"/>
      <c r="G164" s="399"/>
      <c r="H164" s="399"/>
    </row>
    <row r="165" spans="2:8" x14ac:dyDescent="0.55000000000000004">
      <c r="B165" s="363" t="s">
        <v>849</v>
      </c>
      <c r="C165" s="364"/>
      <c r="D165" s="364">
        <v>7380525</v>
      </c>
      <c r="E165" s="364">
        <v>6363430</v>
      </c>
      <c r="F165" s="364">
        <v>4757135</v>
      </c>
      <c r="G165" s="364">
        <v>4166163</v>
      </c>
      <c r="H165" s="364">
        <v>3620171</v>
      </c>
    </row>
    <row r="166" spans="2:8" x14ac:dyDescent="0.55000000000000004">
      <c r="B166" s="361" t="s">
        <v>876</v>
      </c>
      <c r="C166" s="362"/>
      <c r="D166" s="362" t="s">
        <v>23</v>
      </c>
      <c r="E166" s="362" t="s">
        <v>23</v>
      </c>
      <c r="F166" s="362" t="s">
        <v>23</v>
      </c>
      <c r="G166" s="362" t="s">
        <v>23</v>
      </c>
      <c r="H166" s="362" t="s">
        <v>23</v>
      </c>
    </row>
    <row r="167" spans="2:8" x14ac:dyDescent="0.55000000000000004">
      <c r="B167" s="363" t="s">
        <v>856</v>
      </c>
      <c r="C167" s="364"/>
      <c r="D167" s="364">
        <v>1020155</v>
      </c>
      <c r="E167" s="364">
        <v>2824564</v>
      </c>
      <c r="F167" s="364">
        <v>2530914</v>
      </c>
      <c r="G167" s="364">
        <v>1285818</v>
      </c>
      <c r="H167" s="364">
        <v>4401412</v>
      </c>
    </row>
    <row r="168" spans="2:8" x14ac:dyDescent="0.55000000000000004">
      <c r="B168" s="361" t="s">
        <v>850</v>
      </c>
      <c r="C168" s="362"/>
      <c r="D168" s="362">
        <v>1206415</v>
      </c>
      <c r="E168" s="362">
        <v>2080407</v>
      </c>
      <c r="F168" s="362">
        <v>5211500</v>
      </c>
      <c r="G168" s="362">
        <v>2523973</v>
      </c>
      <c r="H168" s="362">
        <v>6914790</v>
      </c>
    </row>
    <row r="169" spans="2:8" x14ac:dyDescent="0.55000000000000004">
      <c r="B169" s="363" t="s">
        <v>852</v>
      </c>
      <c r="C169" s="364"/>
      <c r="D169" s="364">
        <v>352183</v>
      </c>
      <c r="E169" s="364">
        <v>316388</v>
      </c>
      <c r="F169" s="364">
        <v>29321</v>
      </c>
      <c r="G169" s="364">
        <v>110746</v>
      </c>
      <c r="H169" s="364">
        <v>322473</v>
      </c>
    </row>
    <row r="170" spans="2:8" x14ac:dyDescent="0.55000000000000004">
      <c r="B170" s="361" t="s">
        <v>859</v>
      </c>
      <c r="C170" s="362"/>
      <c r="D170" s="362">
        <v>3085218</v>
      </c>
      <c r="E170" s="362">
        <v>4129684</v>
      </c>
      <c r="F170" s="362">
        <v>300900</v>
      </c>
      <c r="G170" s="362">
        <v>0</v>
      </c>
      <c r="H170" s="362">
        <v>0</v>
      </c>
    </row>
    <row r="171" spans="2:8" x14ac:dyDescent="0.55000000000000004">
      <c r="B171" s="363" t="s">
        <v>877</v>
      </c>
      <c r="C171" s="364"/>
      <c r="D171" s="364">
        <v>1578282</v>
      </c>
      <c r="E171" s="364">
        <v>2614946</v>
      </c>
      <c r="F171" s="364">
        <v>2003636</v>
      </c>
      <c r="G171" s="364">
        <v>1731492</v>
      </c>
      <c r="H171" s="364">
        <v>1814250</v>
      </c>
    </row>
    <row r="172" spans="2:8" x14ac:dyDescent="0.55000000000000004">
      <c r="B172" s="361" t="s">
        <v>878</v>
      </c>
      <c r="C172" s="362"/>
      <c r="D172" s="362">
        <v>0</v>
      </c>
      <c r="E172" s="362">
        <v>0</v>
      </c>
      <c r="F172" s="362">
        <v>0</v>
      </c>
      <c r="G172" s="362">
        <v>0</v>
      </c>
      <c r="H172" s="362">
        <v>0</v>
      </c>
    </row>
    <row r="173" spans="2:8" x14ac:dyDescent="0.55000000000000004">
      <c r="B173" s="365" t="s">
        <v>860</v>
      </c>
      <c r="C173" s="366"/>
      <c r="D173" s="366">
        <v>14622778</v>
      </c>
      <c r="E173" s="366">
        <v>18329419</v>
      </c>
      <c r="F173" s="366">
        <v>14833406</v>
      </c>
      <c r="G173" s="366">
        <v>9818192</v>
      </c>
      <c r="H173" s="366">
        <v>17073096</v>
      </c>
    </row>
    <row r="174" spans="2:8" x14ac:dyDescent="0.55000000000000004">
      <c r="B174" s="361" t="s">
        <v>862</v>
      </c>
      <c r="C174" s="362"/>
      <c r="D174" s="362">
        <v>3784699</v>
      </c>
      <c r="E174" s="362">
        <v>3153754</v>
      </c>
      <c r="F174" s="362">
        <v>19941</v>
      </c>
      <c r="G174" s="362">
        <v>7069</v>
      </c>
      <c r="H174" s="362">
        <v>0</v>
      </c>
    </row>
    <row r="175" spans="2:8" x14ac:dyDescent="0.55000000000000004">
      <c r="B175" s="363" t="s">
        <v>879</v>
      </c>
      <c r="C175" s="364"/>
      <c r="D175" s="364">
        <v>0</v>
      </c>
      <c r="E175" s="364">
        <v>0</v>
      </c>
      <c r="F175" s="364" t="s">
        <v>23</v>
      </c>
      <c r="G175" s="364" t="s">
        <v>23</v>
      </c>
      <c r="H175" s="364" t="s">
        <v>23</v>
      </c>
    </row>
    <row r="176" spans="2:8" x14ac:dyDescent="0.55000000000000004">
      <c r="B176" s="361" t="s">
        <v>880</v>
      </c>
      <c r="C176" s="362"/>
      <c r="D176" s="362">
        <v>0</v>
      </c>
      <c r="E176" s="362">
        <v>0</v>
      </c>
      <c r="F176" s="362">
        <v>0</v>
      </c>
      <c r="G176" s="362">
        <v>0</v>
      </c>
      <c r="H176" s="362">
        <v>0</v>
      </c>
    </row>
    <row r="177" spans="2:8" x14ac:dyDescent="0.55000000000000004">
      <c r="B177" s="363" t="s">
        <v>863</v>
      </c>
      <c r="C177" s="364"/>
      <c r="D177" s="364">
        <v>549112</v>
      </c>
      <c r="E177" s="364">
        <v>0</v>
      </c>
      <c r="F177" s="364">
        <v>2909963</v>
      </c>
      <c r="G177" s="364">
        <v>3914643</v>
      </c>
      <c r="H177" s="364">
        <v>4085113</v>
      </c>
    </row>
    <row r="178" spans="2:8" x14ac:dyDescent="0.55000000000000004">
      <c r="B178" s="367" t="s">
        <v>864</v>
      </c>
      <c r="C178" s="368"/>
      <c r="D178" s="368">
        <v>4333811</v>
      </c>
      <c r="E178" s="368">
        <v>3153754</v>
      </c>
      <c r="F178" s="368">
        <v>2929904</v>
      </c>
      <c r="G178" s="368">
        <v>3921712</v>
      </c>
      <c r="H178" s="368">
        <v>4085113</v>
      </c>
    </row>
    <row r="179" spans="2:8" x14ac:dyDescent="0.55000000000000004">
      <c r="B179" s="365" t="s">
        <v>865</v>
      </c>
      <c r="C179" s="366"/>
      <c r="D179" s="366">
        <v>18956589</v>
      </c>
      <c r="E179" s="366">
        <v>21483173</v>
      </c>
      <c r="F179" s="366">
        <v>17763310</v>
      </c>
      <c r="G179" s="366">
        <v>13739904</v>
      </c>
      <c r="H179" s="366">
        <v>21158209</v>
      </c>
    </row>
    <row r="180" spans="2:8" x14ac:dyDescent="0.55000000000000004">
      <c r="B180" s="398" t="s">
        <v>866</v>
      </c>
      <c r="C180" s="399"/>
      <c r="D180" s="399"/>
      <c r="E180" s="399"/>
      <c r="F180" s="399"/>
      <c r="G180" s="399"/>
      <c r="H180" s="399"/>
    </row>
    <row r="181" spans="2:8" x14ac:dyDescent="0.55000000000000004">
      <c r="B181" s="363" t="s">
        <v>66</v>
      </c>
      <c r="C181" s="364"/>
      <c r="D181" s="364">
        <v>3884211</v>
      </c>
      <c r="E181" s="364">
        <v>3884211</v>
      </c>
      <c r="F181" s="364">
        <v>3884211</v>
      </c>
      <c r="G181" s="364">
        <v>10000000</v>
      </c>
      <c r="H181" s="364">
        <v>10000000</v>
      </c>
    </row>
    <row r="182" spans="2:8" x14ac:dyDescent="0.55000000000000004">
      <c r="B182" s="361" t="s">
        <v>881</v>
      </c>
      <c r="C182" s="362"/>
      <c r="D182" s="362">
        <v>0</v>
      </c>
      <c r="E182" s="362">
        <v>0</v>
      </c>
      <c r="F182" s="362">
        <v>0</v>
      </c>
      <c r="G182" s="362">
        <v>0</v>
      </c>
      <c r="H182" s="362">
        <v>0</v>
      </c>
    </row>
    <row r="183" spans="2:8" x14ac:dyDescent="0.55000000000000004">
      <c r="B183" s="363" t="s">
        <v>882</v>
      </c>
      <c r="C183" s="364"/>
      <c r="D183" s="364">
        <v>0</v>
      </c>
      <c r="E183" s="364">
        <v>0</v>
      </c>
      <c r="F183" s="364">
        <v>0</v>
      </c>
      <c r="G183" s="364">
        <v>0</v>
      </c>
      <c r="H183" s="364">
        <v>0</v>
      </c>
    </row>
    <row r="184" spans="2:8" x14ac:dyDescent="0.55000000000000004">
      <c r="B184" s="361" t="s">
        <v>883</v>
      </c>
      <c r="C184" s="362"/>
      <c r="D184" s="362">
        <v>0</v>
      </c>
      <c r="E184" s="362">
        <v>0</v>
      </c>
      <c r="F184" s="362">
        <v>0</v>
      </c>
      <c r="G184" s="362">
        <v>0</v>
      </c>
      <c r="H184" s="362">
        <v>-146110</v>
      </c>
    </row>
    <row r="185" spans="2:8" x14ac:dyDescent="0.55000000000000004">
      <c r="B185" s="363" t="s">
        <v>884</v>
      </c>
      <c r="C185" s="364"/>
      <c r="D185" s="364" t="s">
        <v>23</v>
      </c>
      <c r="E185" s="364" t="s">
        <v>23</v>
      </c>
      <c r="F185" s="364">
        <v>0</v>
      </c>
      <c r="G185" s="364">
        <v>0</v>
      </c>
      <c r="H185" s="364">
        <v>0</v>
      </c>
    </row>
    <row r="186" spans="2:8" x14ac:dyDescent="0.55000000000000004">
      <c r="B186" s="361" t="s">
        <v>867</v>
      </c>
      <c r="C186" s="362"/>
      <c r="D186" s="362">
        <v>384677</v>
      </c>
      <c r="E186" s="362">
        <v>388421</v>
      </c>
      <c r="F186" s="362">
        <v>388421</v>
      </c>
      <c r="G186" s="362">
        <v>890821</v>
      </c>
      <c r="H186" s="362">
        <v>1000000</v>
      </c>
    </row>
    <row r="187" spans="2:8" x14ac:dyDescent="0.55000000000000004">
      <c r="B187" s="363" t="s">
        <v>857</v>
      </c>
      <c r="C187" s="364"/>
      <c r="D187" s="364">
        <v>339844</v>
      </c>
      <c r="E187" s="364">
        <v>1751178</v>
      </c>
      <c r="F187" s="364">
        <v>6834721</v>
      </c>
      <c r="G187" s="364">
        <v>3733331</v>
      </c>
      <c r="H187" s="364">
        <v>3733331</v>
      </c>
    </row>
    <row r="188" spans="2:8" x14ac:dyDescent="0.55000000000000004">
      <c r="B188" s="361" t="s">
        <v>885</v>
      </c>
      <c r="C188" s="362"/>
      <c r="D188" s="362">
        <v>0</v>
      </c>
      <c r="E188" s="362">
        <v>0</v>
      </c>
      <c r="F188" s="362" t="s">
        <v>23</v>
      </c>
      <c r="G188" s="362" t="s">
        <v>23</v>
      </c>
      <c r="H188" s="362" t="s">
        <v>23</v>
      </c>
    </row>
    <row r="189" spans="2:8" x14ac:dyDescent="0.55000000000000004">
      <c r="B189" s="363" t="s">
        <v>886</v>
      </c>
      <c r="C189" s="364"/>
      <c r="D189" s="364">
        <v>0</v>
      </c>
      <c r="E189" s="364">
        <v>0</v>
      </c>
      <c r="F189" s="364">
        <v>0</v>
      </c>
      <c r="G189" s="364">
        <v>0</v>
      </c>
      <c r="H189" s="364">
        <v>0</v>
      </c>
    </row>
    <row r="190" spans="2:8" x14ac:dyDescent="0.55000000000000004">
      <c r="B190" s="361" t="s">
        <v>887</v>
      </c>
      <c r="C190" s="362"/>
      <c r="D190" s="362">
        <v>0</v>
      </c>
      <c r="E190" s="362">
        <v>0</v>
      </c>
      <c r="F190" s="362" t="s">
        <v>23</v>
      </c>
      <c r="G190" s="362" t="s">
        <v>23</v>
      </c>
      <c r="H190" s="362" t="s">
        <v>23</v>
      </c>
    </row>
    <row r="191" spans="2:8" x14ac:dyDescent="0.55000000000000004">
      <c r="B191" s="363" t="s">
        <v>888</v>
      </c>
      <c r="C191" s="364"/>
      <c r="D191" s="364">
        <v>0</v>
      </c>
      <c r="E191" s="364">
        <v>0</v>
      </c>
      <c r="F191" s="364">
        <v>0</v>
      </c>
      <c r="G191" s="364">
        <v>0</v>
      </c>
      <c r="H191" s="364">
        <v>0</v>
      </c>
    </row>
    <row r="192" spans="2:8" x14ac:dyDescent="0.55000000000000004">
      <c r="B192" s="361" t="s">
        <v>858</v>
      </c>
      <c r="C192" s="362"/>
      <c r="D192" s="362">
        <v>-464658</v>
      </c>
      <c r="E192" s="362">
        <v>2378743</v>
      </c>
      <c r="F192" s="362">
        <v>13075081</v>
      </c>
      <c r="G192" s="362">
        <v>10284171</v>
      </c>
      <c r="H192" s="362">
        <v>58834677</v>
      </c>
    </row>
    <row r="193" spans="2:9" x14ac:dyDescent="0.55000000000000004">
      <c r="B193" s="365" t="s">
        <v>868</v>
      </c>
      <c r="C193" s="366"/>
      <c r="D193" s="366">
        <v>4144074</v>
      </c>
      <c r="E193" s="366">
        <v>8402553</v>
      </c>
      <c r="F193" s="366">
        <v>24182434</v>
      </c>
      <c r="G193" s="366">
        <v>24908323</v>
      </c>
      <c r="H193" s="366">
        <v>73421898</v>
      </c>
    </row>
    <row r="194" spans="2:9" x14ac:dyDescent="0.55000000000000004">
      <c r="B194" s="367" t="s">
        <v>869</v>
      </c>
      <c r="C194" s="368"/>
      <c r="D194" s="368">
        <v>23100663</v>
      </c>
      <c r="E194" s="368">
        <v>29885726</v>
      </c>
      <c r="F194" s="368">
        <v>41945744</v>
      </c>
      <c r="G194" s="368">
        <v>38648227</v>
      </c>
      <c r="H194" s="368">
        <v>94580107</v>
      </c>
    </row>
    <row r="195" spans="2:9" x14ac:dyDescent="0.55000000000000004">
      <c r="B195" s="2"/>
      <c r="C195" s="2"/>
      <c r="D195" s="2"/>
      <c r="E195" s="2"/>
      <c r="F195" s="2"/>
      <c r="G195" s="2"/>
      <c r="H195" s="2"/>
    </row>
    <row r="197" spans="2:9" x14ac:dyDescent="0.55000000000000004">
      <c r="B197" s="2"/>
      <c r="C197" s="2"/>
      <c r="D197" s="2"/>
      <c r="E197" s="2"/>
      <c r="F197" s="2"/>
      <c r="G197" s="2"/>
      <c r="H197" s="2"/>
      <c r="I197" s="2"/>
    </row>
    <row r="198" spans="2:9" ht="17.75" x14ac:dyDescent="0.55000000000000004">
      <c r="B198" s="3" t="s">
        <v>43</v>
      </c>
      <c r="C198" s="2"/>
      <c r="D198" s="2"/>
      <c r="E198" s="2"/>
      <c r="F198" s="2"/>
      <c r="G198" s="2"/>
      <c r="H198" s="2"/>
      <c r="I198" s="2"/>
    </row>
    <row r="199" spans="2:9" x14ac:dyDescent="0.55000000000000004">
      <c r="B199" s="2" t="s">
        <v>42</v>
      </c>
      <c r="C199" s="2"/>
      <c r="D199" s="2"/>
      <c r="E199" s="2"/>
      <c r="F199" s="2"/>
      <c r="G199" s="2"/>
      <c r="H199" s="2"/>
      <c r="I199" s="2"/>
    </row>
    <row r="200" spans="2:9" x14ac:dyDescent="0.55000000000000004">
      <c r="B200" s="2"/>
      <c r="C200" s="2"/>
      <c r="D200" s="2"/>
      <c r="E200" s="2"/>
      <c r="F200" s="2"/>
      <c r="G200" s="2"/>
      <c r="H200" s="2"/>
      <c r="I200" s="2"/>
    </row>
    <row r="201" spans="2:9" ht="41.4" x14ac:dyDescent="0.85">
      <c r="B201" s="355" t="s">
        <v>824</v>
      </c>
      <c r="C201" s="355"/>
      <c r="D201" s="355"/>
      <c r="E201" s="355"/>
      <c r="F201" s="355"/>
      <c r="G201" s="355"/>
      <c r="H201" s="355"/>
      <c r="I201" s="355"/>
    </row>
    <row r="202" spans="2:9" ht="41.4" x14ac:dyDescent="0.85">
      <c r="B202" s="356" t="s">
        <v>835</v>
      </c>
      <c r="C202" s="355"/>
      <c r="D202" s="355"/>
      <c r="E202" s="355"/>
      <c r="F202" s="355"/>
      <c r="G202" s="355"/>
      <c r="H202" s="355"/>
      <c r="I202" s="355"/>
    </row>
    <row r="203" spans="2:9" x14ac:dyDescent="0.55000000000000004">
      <c r="B203" s="2"/>
      <c r="C203" s="2"/>
      <c r="D203" s="2"/>
      <c r="E203" s="2"/>
      <c r="F203" s="2"/>
      <c r="G203" s="2"/>
      <c r="H203" s="2"/>
      <c r="I203" s="2"/>
    </row>
    <row r="204" spans="2:9" ht="17.2" thickBot="1" x14ac:dyDescent="0.6">
      <c r="B204" s="357" t="s">
        <v>52</v>
      </c>
      <c r="C204" s="358"/>
      <c r="D204" s="358" t="s">
        <v>890</v>
      </c>
      <c r="E204" s="358" t="s">
        <v>806</v>
      </c>
      <c r="F204" s="358" t="s">
        <v>807</v>
      </c>
      <c r="G204" s="358" t="s">
        <v>808</v>
      </c>
      <c r="H204" s="358" t="s">
        <v>809</v>
      </c>
      <c r="I204" s="358" t="s">
        <v>810</v>
      </c>
    </row>
    <row r="205" spans="2:9" x14ac:dyDescent="0.55000000000000004">
      <c r="B205" s="359" t="s">
        <v>811</v>
      </c>
      <c r="C205" s="360"/>
      <c r="D205" s="360" t="s">
        <v>891</v>
      </c>
      <c r="E205" s="360" t="s">
        <v>892</v>
      </c>
      <c r="F205" s="360" t="s">
        <v>813</v>
      </c>
      <c r="G205" s="360" t="s">
        <v>826</v>
      </c>
      <c r="H205" s="360" t="s">
        <v>827</v>
      </c>
      <c r="I205" s="360" t="s">
        <v>828</v>
      </c>
    </row>
    <row r="206" spans="2:9" x14ac:dyDescent="0.55000000000000004">
      <c r="B206" s="361"/>
      <c r="C206" s="362"/>
      <c r="D206" s="362"/>
      <c r="E206" s="362"/>
      <c r="F206" s="362"/>
      <c r="G206" s="362"/>
      <c r="H206" s="362"/>
      <c r="I206" s="362"/>
    </row>
    <row r="207" spans="2:9" x14ac:dyDescent="0.55000000000000004">
      <c r="B207" s="398" t="s">
        <v>836</v>
      </c>
      <c r="C207" s="399"/>
      <c r="D207" s="399"/>
      <c r="E207" s="399"/>
      <c r="F207" s="399"/>
      <c r="G207" s="399"/>
      <c r="H207" s="399"/>
      <c r="I207" s="399"/>
    </row>
    <row r="208" spans="2:9" x14ac:dyDescent="0.55000000000000004">
      <c r="B208" s="363" t="s">
        <v>837</v>
      </c>
      <c r="C208" s="364"/>
      <c r="D208" s="364">
        <v>2505473</v>
      </c>
      <c r="E208" s="364">
        <v>2291658</v>
      </c>
      <c r="F208" s="364">
        <v>2247086</v>
      </c>
      <c r="G208" s="364">
        <v>8439539</v>
      </c>
      <c r="H208" s="364">
        <v>9756918</v>
      </c>
      <c r="I208" s="364">
        <v>5146670</v>
      </c>
    </row>
    <row r="209" spans="2:9" x14ac:dyDescent="0.55000000000000004">
      <c r="B209" s="361" t="s">
        <v>838</v>
      </c>
      <c r="C209" s="362"/>
      <c r="D209" s="362">
        <v>0</v>
      </c>
      <c r="E209" s="362">
        <v>0</v>
      </c>
      <c r="F209" s="362">
        <v>6000000</v>
      </c>
      <c r="G209" s="362">
        <v>0</v>
      </c>
      <c r="H209" s="362">
        <v>0</v>
      </c>
      <c r="I209" s="362">
        <v>0</v>
      </c>
    </row>
    <row r="210" spans="2:9" x14ac:dyDescent="0.55000000000000004">
      <c r="B210" s="363" t="s">
        <v>839</v>
      </c>
      <c r="C210" s="364"/>
      <c r="D210" s="364">
        <v>7935732</v>
      </c>
      <c r="E210" s="364">
        <v>7797355</v>
      </c>
      <c r="F210" s="364">
        <v>8063714</v>
      </c>
      <c r="G210" s="364">
        <v>6498993</v>
      </c>
      <c r="H210" s="364">
        <v>12722245</v>
      </c>
      <c r="I210" s="364">
        <v>20115552</v>
      </c>
    </row>
    <row r="211" spans="2:9" x14ac:dyDescent="0.55000000000000004">
      <c r="B211" s="361" t="s">
        <v>840</v>
      </c>
      <c r="C211" s="362"/>
      <c r="D211" s="362">
        <v>9906261</v>
      </c>
      <c r="E211" s="362">
        <v>8028834</v>
      </c>
      <c r="F211" s="362">
        <v>12317623</v>
      </c>
      <c r="G211" s="362">
        <v>29683795</v>
      </c>
      <c r="H211" s="362">
        <v>32671759</v>
      </c>
      <c r="I211" s="362">
        <v>49931770</v>
      </c>
    </row>
    <row r="212" spans="2:9" x14ac:dyDescent="0.55000000000000004">
      <c r="B212" s="363" t="s">
        <v>841</v>
      </c>
      <c r="C212" s="364"/>
      <c r="D212" s="364">
        <v>127834</v>
      </c>
      <c r="E212" s="364">
        <v>256609</v>
      </c>
      <c r="F212" s="364">
        <v>172976</v>
      </c>
      <c r="G212" s="364">
        <v>602084</v>
      </c>
      <c r="H212" s="364">
        <v>579821</v>
      </c>
      <c r="I212" s="364">
        <v>728837</v>
      </c>
    </row>
    <row r="213" spans="2:9" x14ac:dyDescent="0.55000000000000004">
      <c r="B213" s="361" t="s">
        <v>872</v>
      </c>
      <c r="C213" s="362"/>
      <c r="D213" s="362">
        <v>0</v>
      </c>
      <c r="E213" s="362">
        <v>0</v>
      </c>
      <c r="F213" s="362">
        <v>0</v>
      </c>
      <c r="G213" s="362">
        <v>0</v>
      </c>
      <c r="H213" s="362">
        <v>0</v>
      </c>
      <c r="I213" s="362">
        <v>0</v>
      </c>
    </row>
    <row r="214" spans="2:9" x14ac:dyDescent="0.55000000000000004">
      <c r="B214" s="365" t="s">
        <v>843</v>
      </c>
      <c r="C214" s="366"/>
      <c r="D214" s="366">
        <v>20475300</v>
      </c>
      <c r="E214" s="366">
        <v>18374456</v>
      </c>
      <c r="F214" s="366">
        <v>28801399</v>
      </c>
      <c r="G214" s="366">
        <v>45224411</v>
      </c>
      <c r="H214" s="366">
        <v>55730743</v>
      </c>
      <c r="I214" s="366">
        <v>75922829</v>
      </c>
    </row>
    <row r="215" spans="2:9" x14ac:dyDescent="0.55000000000000004">
      <c r="B215" s="361" t="s">
        <v>873</v>
      </c>
      <c r="C215" s="362"/>
      <c r="D215" s="362">
        <v>64403</v>
      </c>
      <c r="E215" s="362">
        <v>40857</v>
      </c>
      <c r="F215" s="362">
        <v>11100</v>
      </c>
      <c r="G215" s="362">
        <v>5000</v>
      </c>
      <c r="H215" s="362">
        <v>3489</v>
      </c>
      <c r="I215" s="362">
        <v>5719</v>
      </c>
    </row>
    <row r="216" spans="2:9" x14ac:dyDescent="0.55000000000000004">
      <c r="B216" s="363" t="s">
        <v>845</v>
      </c>
      <c r="C216" s="364"/>
      <c r="D216" s="364">
        <v>0</v>
      </c>
      <c r="E216" s="364">
        <v>0</v>
      </c>
      <c r="F216" s="364">
        <v>0</v>
      </c>
      <c r="G216" s="364">
        <v>29500000</v>
      </c>
      <c r="H216" s="364">
        <v>45500000</v>
      </c>
      <c r="I216" s="364">
        <v>117832166</v>
      </c>
    </row>
    <row r="217" spans="2:9" x14ac:dyDescent="0.55000000000000004">
      <c r="B217" s="361" t="s">
        <v>874</v>
      </c>
      <c r="C217" s="362"/>
      <c r="D217" s="362">
        <v>0</v>
      </c>
      <c r="E217" s="362">
        <v>0</v>
      </c>
      <c r="F217" s="362">
        <v>0</v>
      </c>
      <c r="G217" s="362">
        <v>0</v>
      </c>
      <c r="H217" s="362">
        <v>0</v>
      </c>
      <c r="I217" s="362">
        <v>0</v>
      </c>
    </row>
    <row r="218" spans="2:9" x14ac:dyDescent="0.55000000000000004">
      <c r="B218" s="363" t="s">
        <v>847</v>
      </c>
      <c r="C218" s="364"/>
      <c r="D218" s="364">
        <v>11283466</v>
      </c>
      <c r="E218" s="364">
        <v>10667712</v>
      </c>
      <c r="F218" s="364">
        <v>10943772</v>
      </c>
      <c r="G218" s="364">
        <v>12069321</v>
      </c>
      <c r="H218" s="364">
        <v>12225702</v>
      </c>
      <c r="I218" s="364">
        <v>17781263</v>
      </c>
    </row>
    <row r="219" spans="2:9" x14ac:dyDescent="0.55000000000000004">
      <c r="B219" s="361" t="s">
        <v>848</v>
      </c>
      <c r="C219" s="362"/>
      <c r="D219" s="362">
        <v>190981</v>
      </c>
      <c r="E219" s="362">
        <v>191015</v>
      </c>
      <c r="F219" s="362">
        <v>109265</v>
      </c>
      <c r="G219" s="362">
        <v>109265</v>
      </c>
      <c r="H219" s="362">
        <v>109369</v>
      </c>
      <c r="I219" s="362">
        <v>109369</v>
      </c>
    </row>
    <row r="220" spans="2:9" x14ac:dyDescent="0.55000000000000004">
      <c r="B220" s="363" t="s">
        <v>875</v>
      </c>
      <c r="C220" s="364"/>
      <c r="D220" s="364" t="s">
        <v>23</v>
      </c>
      <c r="E220" s="364" t="s">
        <v>23</v>
      </c>
      <c r="F220" s="364" t="s">
        <v>23</v>
      </c>
      <c r="G220" s="364" t="s">
        <v>23</v>
      </c>
      <c r="H220" s="364" t="s">
        <v>23</v>
      </c>
      <c r="I220" s="364" t="s">
        <v>23</v>
      </c>
    </row>
    <row r="221" spans="2:9" x14ac:dyDescent="0.55000000000000004">
      <c r="B221" s="361" t="s">
        <v>844</v>
      </c>
      <c r="C221" s="362"/>
      <c r="D221" s="362">
        <v>2215000</v>
      </c>
      <c r="E221" s="362">
        <v>4215000</v>
      </c>
      <c r="F221" s="362">
        <v>4515000</v>
      </c>
      <c r="G221" s="362">
        <v>1577000</v>
      </c>
      <c r="H221" s="362">
        <v>24587200</v>
      </c>
      <c r="I221" s="362">
        <v>23087200</v>
      </c>
    </row>
    <row r="222" spans="2:9" x14ac:dyDescent="0.55000000000000004">
      <c r="B222" s="365" t="s">
        <v>851</v>
      </c>
      <c r="C222" s="366"/>
      <c r="D222" s="366">
        <v>13753850</v>
      </c>
      <c r="E222" s="366">
        <v>15114584</v>
      </c>
      <c r="F222" s="366">
        <v>15579137</v>
      </c>
      <c r="G222" s="366">
        <v>43260586</v>
      </c>
      <c r="H222" s="366">
        <v>82425760</v>
      </c>
      <c r="I222" s="366">
        <v>158815717</v>
      </c>
    </row>
    <row r="223" spans="2:9" x14ac:dyDescent="0.55000000000000004">
      <c r="B223" s="367" t="s">
        <v>846</v>
      </c>
      <c r="C223" s="368"/>
      <c r="D223" s="368">
        <v>34229150</v>
      </c>
      <c r="E223" s="368">
        <v>33489040</v>
      </c>
      <c r="F223" s="368">
        <v>44380536</v>
      </c>
      <c r="G223" s="368">
        <v>88484997</v>
      </c>
      <c r="H223" s="368">
        <v>138156503</v>
      </c>
      <c r="I223" s="368">
        <v>234738546</v>
      </c>
    </row>
    <row r="224" spans="2:9" x14ac:dyDescent="0.55000000000000004">
      <c r="B224" s="398" t="s">
        <v>854</v>
      </c>
      <c r="C224" s="399"/>
      <c r="D224" s="399"/>
      <c r="E224" s="399"/>
      <c r="F224" s="399"/>
      <c r="G224" s="399"/>
      <c r="H224" s="399"/>
      <c r="I224" s="399"/>
    </row>
    <row r="225" spans="2:9" x14ac:dyDescent="0.55000000000000004">
      <c r="B225" s="363" t="s">
        <v>849</v>
      </c>
      <c r="C225" s="364"/>
      <c r="D225" s="364">
        <v>10735718</v>
      </c>
      <c r="E225" s="364">
        <v>4493479</v>
      </c>
      <c r="F225" s="364">
        <v>4147906</v>
      </c>
      <c r="G225" s="364">
        <v>11656091</v>
      </c>
      <c r="H225" s="364">
        <v>34815657</v>
      </c>
      <c r="I225" s="364">
        <v>17706561</v>
      </c>
    </row>
    <row r="226" spans="2:9" x14ac:dyDescent="0.55000000000000004">
      <c r="B226" s="361" t="s">
        <v>876</v>
      </c>
      <c r="C226" s="362"/>
      <c r="D226" s="362" t="s">
        <v>23</v>
      </c>
      <c r="E226" s="362" t="s">
        <v>23</v>
      </c>
      <c r="F226" s="362" t="s">
        <v>23</v>
      </c>
      <c r="G226" s="362" t="s">
        <v>23</v>
      </c>
      <c r="H226" s="362" t="s">
        <v>23</v>
      </c>
      <c r="I226" s="362" t="s">
        <v>23</v>
      </c>
    </row>
    <row r="227" spans="2:9" x14ac:dyDescent="0.55000000000000004">
      <c r="B227" s="363" t="s">
        <v>856</v>
      </c>
      <c r="C227" s="364"/>
      <c r="D227" s="364">
        <v>306296</v>
      </c>
      <c r="E227" s="364">
        <v>695142</v>
      </c>
      <c r="F227" s="364">
        <v>910510</v>
      </c>
      <c r="G227" s="364">
        <v>1263069</v>
      </c>
      <c r="H227" s="364">
        <v>388620</v>
      </c>
      <c r="I227" s="364">
        <v>2380935</v>
      </c>
    </row>
    <row r="228" spans="2:9" x14ac:dyDescent="0.55000000000000004">
      <c r="B228" s="361" t="s">
        <v>850</v>
      </c>
      <c r="C228" s="362"/>
      <c r="D228" s="362">
        <v>1410280</v>
      </c>
      <c r="E228" s="362">
        <v>2798590</v>
      </c>
      <c r="F228" s="362">
        <v>2821434</v>
      </c>
      <c r="G228" s="362">
        <v>5298065</v>
      </c>
      <c r="H228" s="362">
        <v>5930890</v>
      </c>
      <c r="I228" s="362">
        <v>12502517</v>
      </c>
    </row>
    <row r="229" spans="2:9" x14ac:dyDescent="0.55000000000000004">
      <c r="B229" s="363" t="s">
        <v>852</v>
      </c>
      <c r="C229" s="364"/>
      <c r="D229" s="364">
        <v>792985</v>
      </c>
      <c r="E229" s="364">
        <v>69385</v>
      </c>
      <c r="F229" s="364">
        <v>85290</v>
      </c>
      <c r="G229" s="364">
        <v>122009</v>
      </c>
      <c r="H229" s="364">
        <v>175194</v>
      </c>
      <c r="I229" s="364">
        <v>303862</v>
      </c>
    </row>
    <row r="230" spans="2:9" x14ac:dyDescent="0.55000000000000004">
      <c r="B230" s="361" t="s">
        <v>859</v>
      </c>
      <c r="C230" s="362"/>
      <c r="D230" s="362">
        <v>1121039</v>
      </c>
      <c r="E230" s="362">
        <v>105638</v>
      </c>
      <c r="F230" s="362">
        <v>156806</v>
      </c>
      <c r="G230" s="362">
        <v>288767</v>
      </c>
      <c r="H230" s="362">
        <v>637739</v>
      </c>
      <c r="I230" s="362">
        <v>0</v>
      </c>
    </row>
    <row r="231" spans="2:9" x14ac:dyDescent="0.55000000000000004">
      <c r="B231" s="363" t="s">
        <v>877</v>
      </c>
      <c r="C231" s="364"/>
      <c r="D231" s="364">
        <v>0</v>
      </c>
      <c r="E231" s="364">
        <v>0</v>
      </c>
      <c r="F231" s="364">
        <v>0</v>
      </c>
      <c r="G231" s="364">
        <v>0</v>
      </c>
      <c r="H231" s="364">
        <v>0</v>
      </c>
      <c r="I231" s="364">
        <v>0</v>
      </c>
    </row>
    <row r="232" spans="2:9" x14ac:dyDescent="0.55000000000000004">
      <c r="B232" s="361" t="s">
        <v>878</v>
      </c>
      <c r="C232" s="362"/>
      <c r="D232" s="362">
        <v>0</v>
      </c>
      <c r="E232" s="362">
        <v>0</v>
      </c>
      <c r="F232" s="362">
        <v>0</v>
      </c>
      <c r="G232" s="362">
        <v>0</v>
      </c>
      <c r="H232" s="362">
        <v>0</v>
      </c>
      <c r="I232" s="362">
        <v>0</v>
      </c>
    </row>
    <row r="233" spans="2:9" x14ac:dyDescent="0.55000000000000004">
      <c r="B233" s="365" t="s">
        <v>860</v>
      </c>
      <c r="C233" s="366"/>
      <c r="D233" s="366">
        <v>14366318</v>
      </c>
      <c r="E233" s="366">
        <v>8162234</v>
      </c>
      <c r="F233" s="366">
        <v>8121946</v>
      </c>
      <c r="G233" s="366">
        <v>18628001</v>
      </c>
      <c r="H233" s="366">
        <v>41948100</v>
      </c>
      <c r="I233" s="366">
        <v>32893875</v>
      </c>
    </row>
    <row r="234" spans="2:9" x14ac:dyDescent="0.55000000000000004">
      <c r="B234" s="361" t="s">
        <v>862</v>
      </c>
      <c r="C234" s="362"/>
      <c r="D234" s="362">
        <v>705262</v>
      </c>
      <c r="E234" s="362">
        <v>4321381</v>
      </c>
      <c r="F234" s="362">
        <v>3808981</v>
      </c>
      <c r="G234" s="362">
        <v>5020567</v>
      </c>
      <c r="H234" s="362">
        <v>5593000</v>
      </c>
      <c r="I234" s="362">
        <v>10870000</v>
      </c>
    </row>
    <row r="235" spans="2:9" x14ac:dyDescent="0.55000000000000004">
      <c r="B235" s="363" t="s">
        <v>879</v>
      </c>
      <c r="C235" s="364"/>
      <c r="D235" s="364">
        <v>0</v>
      </c>
      <c r="E235" s="364">
        <v>0</v>
      </c>
      <c r="F235" s="364">
        <v>0</v>
      </c>
      <c r="G235" s="364" t="s">
        <v>23</v>
      </c>
      <c r="H235" s="364" t="s">
        <v>23</v>
      </c>
      <c r="I235" s="364" t="s">
        <v>23</v>
      </c>
    </row>
    <row r="236" spans="2:9" x14ac:dyDescent="0.55000000000000004">
      <c r="B236" s="361" t="s">
        <v>880</v>
      </c>
      <c r="C236" s="362"/>
      <c r="D236" s="362">
        <v>0</v>
      </c>
      <c r="E236" s="362">
        <v>0</v>
      </c>
      <c r="F236" s="362">
        <v>0</v>
      </c>
      <c r="G236" s="362">
        <v>0</v>
      </c>
      <c r="H236" s="362">
        <v>0</v>
      </c>
      <c r="I236" s="362">
        <v>0</v>
      </c>
    </row>
    <row r="237" spans="2:9" x14ac:dyDescent="0.55000000000000004">
      <c r="B237" s="363" t="s">
        <v>863</v>
      </c>
      <c r="C237" s="364"/>
      <c r="D237" s="364">
        <v>515789</v>
      </c>
      <c r="E237" s="364">
        <v>623200</v>
      </c>
      <c r="F237" s="364">
        <v>789712</v>
      </c>
      <c r="G237" s="364">
        <v>1041107</v>
      </c>
      <c r="H237" s="364">
        <v>1264816</v>
      </c>
      <c r="I237" s="364">
        <v>1810353</v>
      </c>
    </row>
    <row r="238" spans="2:9" x14ac:dyDescent="0.55000000000000004">
      <c r="B238" s="367" t="s">
        <v>864</v>
      </c>
      <c r="C238" s="368"/>
      <c r="D238" s="368">
        <v>1221051</v>
      </c>
      <c r="E238" s="368">
        <v>4944581</v>
      </c>
      <c r="F238" s="368">
        <v>4598693</v>
      </c>
      <c r="G238" s="368">
        <v>6061674</v>
      </c>
      <c r="H238" s="368">
        <v>6857816</v>
      </c>
      <c r="I238" s="368">
        <v>12680353</v>
      </c>
    </row>
    <row r="239" spans="2:9" x14ac:dyDescent="0.55000000000000004">
      <c r="B239" s="365" t="s">
        <v>865</v>
      </c>
      <c r="C239" s="366"/>
      <c r="D239" s="366">
        <v>15587369</v>
      </c>
      <c r="E239" s="366">
        <v>13106815</v>
      </c>
      <c r="F239" s="366">
        <v>12720639</v>
      </c>
      <c r="G239" s="366">
        <v>24689675</v>
      </c>
      <c r="H239" s="366">
        <v>48805916</v>
      </c>
      <c r="I239" s="366">
        <v>45574228</v>
      </c>
    </row>
    <row r="240" spans="2:9" x14ac:dyDescent="0.55000000000000004">
      <c r="B240" s="398" t="s">
        <v>866</v>
      </c>
      <c r="C240" s="399"/>
      <c r="D240" s="399"/>
      <c r="E240" s="399"/>
      <c r="F240" s="399"/>
      <c r="G240" s="399"/>
      <c r="H240" s="399"/>
      <c r="I240" s="399"/>
    </row>
    <row r="241" spans="2:9" x14ac:dyDescent="0.55000000000000004">
      <c r="B241" s="363" t="s">
        <v>66</v>
      </c>
      <c r="C241" s="364"/>
      <c r="D241" s="364">
        <v>8000000</v>
      </c>
      <c r="E241" s="364">
        <v>16000000</v>
      </c>
      <c r="F241" s="364">
        <v>16000000</v>
      </c>
      <c r="G241" s="364">
        <v>24000000</v>
      </c>
      <c r="H241" s="364">
        <v>44000000</v>
      </c>
      <c r="I241" s="364">
        <v>75000000</v>
      </c>
    </row>
    <row r="242" spans="2:9" x14ac:dyDescent="0.55000000000000004">
      <c r="B242" s="361" t="s">
        <v>881</v>
      </c>
      <c r="C242" s="362"/>
      <c r="D242" s="362">
        <v>0</v>
      </c>
      <c r="E242" s="362">
        <v>0</v>
      </c>
      <c r="F242" s="362">
        <v>0</v>
      </c>
      <c r="G242" s="362">
        <v>0</v>
      </c>
      <c r="H242" s="362">
        <v>0</v>
      </c>
      <c r="I242" s="362">
        <v>0</v>
      </c>
    </row>
    <row r="243" spans="2:9" x14ac:dyDescent="0.55000000000000004">
      <c r="B243" s="363" t="s">
        <v>882</v>
      </c>
      <c r="C243" s="364"/>
      <c r="D243" s="364">
        <v>4000000</v>
      </c>
      <c r="E243" s="364">
        <v>0</v>
      </c>
      <c r="F243" s="364">
        <v>0</v>
      </c>
      <c r="G243" s="364">
        <v>0</v>
      </c>
      <c r="H243" s="364">
        <v>0</v>
      </c>
      <c r="I243" s="364">
        <v>0</v>
      </c>
    </row>
    <row r="244" spans="2:9" x14ac:dyDescent="0.55000000000000004">
      <c r="B244" s="361" t="s">
        <v>883</v>
      </c>
      <c r="C244" s="362"/>
      <c r="D244" s="362">
        <v>0</v>
      </c>
      <c r="E244" s="362">
        <v>0</v>
      </c>
      <c r="F244" s="362">
        <v>0</v>
      </c>
      <c r="G244" s="362">
        <v>0</v>
      </c>
      <c r="H244" s="362">
        <v>0</v>
      </c>
      <c r="I244" s="362">
        <v>-3499998</v>
      </c>
    </row>
    <row r="245" spans="2:9" x14ac:dyDescent="0.55000000000000004">
      <c r="B245" s="363" t="s">
        <v>884</v>
      </c>
      <c r="C245" s="364"/>
      <c r="D245" s="364" t="s">
        <v>23</v>
      </c>
      <c r="E245" s="364" t="s">
        <v>23</v>
      </c>
      <c r="F245" s="364" t="s">
        <v>23</v>
      </c>
      <c r="G245" s="364">
        <v>0</v>
      </c>
      <c r="H245" s="364">
        <v>0</v>
      </c>
      <c r="I245" s="364">
        <v>0</v>
      </c>
    </row>
    <row r="246" spans="2:9" x14ac:dyDescent="0.55000000000000004">
      <c r="B246" s="361" t="s">
        <v>867</v>
      </c>
      <c r="C246" s="362"/>
      <c r="D246" s="362">
        <v>302934</v>
      </c>
      <c r="E246" s="362">
        <v>766834</v>
      </c>
      <c r="F246" s="362">
        <v>1433533</v>
      </c>
      <c r="G246" s="362">
        <v>2400000</v>
      </c>
      <c r="H246" s="362">
        <v>4037763</v>
      </c>
      <c r="I246" s="362">
        <v>7500000</v>
      </c>
    </row>
    <row r="247" spans="2:9" x14ac:dyDescent="0.55000000000000004">
      <c r="B247" s="363" t="s">
        <v>857</v>
      </c>
      <c r="C247" s="364"/>
      <c r="D247" s="364">
        <v>993116</v>
      </c>
      <c r="E247" s="364">
        <v>180871</v>
      </c>
      <c r="F247" s="364">
        <v>2964274</v>
      </c>
      <c r="G247" s="364">
        <v>4064466</v>
      </c>
      <c r="H247" s="364">
        <v>10675895</v>
      </c>
      <c r="I247" s="364">
        <v>502475</v>
      </c>
    </row>
    <row r="248" spans="2:9" x14ac:dyDescent="0.55000000000000004">
      <c r="B248" s="361" t="s">
        <v>885</v>
      </c>
      <c r="C248" s="362"/>
      <c r="D248" s="362">
        <v>0</v>
      </c>
      <c r="E248" s="362">
        <v>0</v>
      </c>
      <c r="F248" s="362">
        <v>0</v>
      </c>
      <c r="G248" s="362" t="s">
        <v>23</v>
      </c>
      <c r="H248" s="362" t="s">
        <v>23</v>
      </c>
      <c r="I248" s="362" t="s">
        <v>23</v>
      </c>
    </row>
    <row r="249" spans="2:9" x14ac:dyDescent="0.55000000000000004">
      <c r="B249" s="363" t="s">
        <v>886</v>
      </c>
      <c r="C249" s="364"/>
      <c r="D249" s="364">
        <v>0</v>
      </c>
      <c r="E249" s="364">
        <v>0</v>
      </c>
      <c r="F249" s="364">
        <v>0</v>
      </c>
      <c r="G249" s="364">
        <v>0</v>
      </c>
      <c r="H249" s="364">
        <v>0</v>
      </c>
      <c r="I249" s="364">
        <v>0</v>
      </c>
    </row>
    <row r="250" spans="2:9" x14ac:dyDescent="0.55000000000000004">
      <c r="B250" s="361" t="s">
        <v>887</v>
      </c>
      <c r="C250" s="362"/>
      <c r="D250" s="362">
        <v>0</v>
      </c>
      <c r="E250" s="362">
        <v>0</v>
      </c>
      <c r="F250" s="362">
        <v>0</v>
      </c>
      <c r="G250" s="362" t="s">
        <v>23</v>
      </c>
      <c r="H250" s="362" t="s">
        <v>23</v>
      </c>
      <c r="I250" s="362" t="s">
        <v>23</v>
      </c>
    </row>
    <row r="251" spans="2:9" x14ac:dyDescent="0.55000000000000004">
      <c r="B251" s="363" t="s">
        <v>888</v>
      </c>
      <c r="C251" s="364"/>
      <c r="D251" s="364">
        <v>0</v>
      </c>
      <c r="E251" s="364">
        <v>0</v>
      </c>
      <c r="F251" s="364">
        <v>0</v>
      </c>
      <c r="G251" s="364">
        <v>0</v>
      </c>
      <c r="H251" s="364">
        <v>0</v>
      </c>
      <c r="I251" s="364">
        <v>0</v>
      </c>
    </row>
    <row r="252" spans="2:9" x14ac:dyDescent="0.55000000000000004">
      <c r="B252" s="361" t="s">
        <v>858</v>
      </c>
      <c r="C252" s="362"/>
      <c r="D252" s="362">
        <v>5345731</v>
      </c>
      <c r="E252" s="362">
        <v>3434520</v>
      </c>
      <c r="F252" s="362">
        <v>11262090</v>
      </c>
      <c r="G252" s="362">
        <v>33330856</v>
      </c>
      <c r="H252" s="362">
        <v>30636929</v>
      </c>
      <c r="I252" s="362">
        <v>109661841</v>
      </c>
    </row>
    <row r="253" spans="2:9" x14ac:dyDescent="0.55000000000000004">
      <c r="B253" s="365" t="s">
        <v>868</v>
      </c>
      <c r="C253" s="366"/>
      <c r="D253" s="366">
        <v>18641781</v>
      </c>
      <c r="E253" s="366">
        <v>20382225</v>
      </c>
      <c r="F253" s="366">
        <v>31659897</v>
      </c>
      <c r="G253" s="366">
        <v>63795322</v>
      </c>
      <c r="H253" s="366">
        <v>89350587</v>
      </c>
      <c r="I253" s="366">
        <v>189164318</v>
      </c>
    </row>
    <row r="254" spans="2:9" x14ac:dyDescent="0.55000000000000004">
      <c r="B254" s="367" t="s">
        <v>869</v>
      </c>
      <c r="C254" s="368"/>
      <c r="D254" s="368">
        <v>34229150</v>
      </c>
      <c r="E254" s="368">
        <v>33489040</v>
      </c>
      <c r="F254" s="368">
        <v>44380536</v>
      </c>
      <c r="G254" s="368">
        <v>88484997</v>
      </c>
      <c r="H254" s="368">
        <v>138156503</v>
      </c>
      <c r="I254" s="368">
        <v>234738546</v>
      </c>
    </row>
    <row r="257" spans="2:9" x14ac:dyDescent="0.55000000000000004">
      <c r="B257" s="2"/>
      <c r="C257" s="2"/>
      <c r="D257" s="2"/>
      <c r="E257" s="2"/>
      <c r="F257" s="2"/>
      <c r="G257" s="2"/>
      <c r="H257" s="2"/>
      <c r="I257" s="2"/>
    </row>
    <row r="258" spans="2:9" ht="17.75" x14ac:dyDescent="0.55000000000000004">
      <c r="B258" s="3" t="s">
        <v>43</v>
      </c>
      <c r="C258" s="2"/>
      <c r="D258" s="2"/>
      <c r="E258" s="2"/>
      <c r="F258" s="2"/>
      <c r="G258" s="2"/>
      <c r="H258" s="2"/>
      <c r="I258" s="2"/>
    </row>
    <row r="259" spans="2:9" x14ac:dyDescent="0.55000000000000004">
      <c r="B259" s="2" t="s">
        <v>42</v>
      </c>
      <c r="C259" s="2"/>
      <c r="D259" s="2"/>
      <c r="E259" s="2"/>
      <c r="F259" s="2"/>
      <c r="G259" s="2"/>
      <c r="H259" s="2"/>
      <c r="I259" s="2"/>
    </row>
    <row r="260" spans="2:9" x14ac:dyDescent="0.55000000000000004">
      <c r="B260" s="2"/>
      <c r="C260" s="2"/>
      <c r="D260" s="2"/>
      <c r="E260" s="2"/>
      <c r="F260" s="2"/>
      <c r="G260" s="2"/>
      <c r="H260" s="2"/>
      <c r="I260" s="2"/>
    </row>
    <row r="261" spans="2:9" ht="41.4" x14ac:dyDescent="0.85">
      <c r="B261" s="355" t="s">
        <v>829</v>
      </c>
      <c r="C261" s="355"/>
      <c r="D261" s="355"/>
      <c r="E261" s="355"/>
      <c r="F261" s="355"/>
      <c r="G261" s="355"/>
      <c r="H261" s="355"/>
      <c r="I261" s="355"/>
    </row>
    <row r="262" spans="2:9" ht="41.4" x14ac:dyDescent="0.85">
      <c r="B262" s="356" t="s">
        <v>835</v>
      </c>
      <c r="C262" s="355"/>
      <c r="D262" s="355"/>
      <c r="E262" s="355"/>
      <c r="F262" s="355"/>
      <c r="G262" s="355"/>
      <c r="H262" s="355"/>
      <c r="I262" s="355"/>
    </row>
    <row r="263" spans="2:9" x14ac:dyDescent="0.55000000000000004">
      <c r="B263" s="2"/>
      <c r="C263" s="2"/>
      <c r="D263" s="2"/>
      <c r="E263" s="2"/>
      <c r="F263" s="2"/>
      <c r="G263" s="2"/>
      <c r="H263" s="2"/>
      <c r="I263" s="2"/>
    </row>
    <row r="264" spans="2:9" ht="17.2" thickBot="1" x14ac:dyDescent="0.6">
      <c r="B264" s="357" t="s">
        <v>52</v>
      </c>
      <c r="C264" s="358"/>
      <c r="D264" s="358" t="s">
        <v>890</v>
      </c>
      <c r="E264" s="358" t="s">
        <v>806</v>
      </c>
      <c r="F264" s="358" t="s">
        <v>807</v>
      </c>
      <c r="G264" s="358" t="s">
        <v>808</v>
      </c>
      <c r="H264" s="358" t="s">
        <v>809</v>
      </c>
      <c r="I264" s="358" t="s">
        <v>810</v>
      </c>
    </row>
    <row r="265" spans="2:9" x14ac:dyDescent="0.55000000000000004">
      <c r="B265" s="359" t="s">
        <v>811</v>
      </c>
      <c r="C265" s="360"/>
      <c r="D265" s="360" t="s">
        <v>893</v>
      </c>
      <c r="E265" s="360" t="s">
        <v>894</v>
      </c>
      <c r="F265" s="360" t="s">
        <v>830</v>
      </c>
      <c r="G265" s="360" t="s">
        <v>831</v>
      </c>
      <c r="H265" s="360" t="s">
        <v>832</v>
      </c>
      <c r="I265" s="360" t="s">
        <v>833</v>
      </c>
    </row>
    <row r="266" spans="2:9" x14ac:dyDescent="0.55000000000000004">
      <c r="B266" s="361"/>
      <c r="C266" s="362"/>
      <c r="D266" s="362"/>
      <c r="E266" s="362"/>
      <c r="F266" s="362"/>
      <c r="G266" s="362"/>
      <c r="H266" s="362"/>
      <c r="I266" s="362"/>
    </row>
    <row r="267" spans="2:9" x14ac:dyDescent="0.55000000000000004">
      <c r="B267" s="398" t="s">
        <v>836</v>
      </c>
      <c r="C267" s="399"/>
      <c r="D267" s="399"/>
      <c r="E267" s="399"/>
      <c r="F267" s="399"/>
      <c r="G267" s="399"/>
      <c r="H267" s="399"/>
      <c r="I267" s="399"/>
    </row>
    <row r="268" spans="2:9" x14ac:dyDescent="0.55000000000000004">
      <c r="B268" s="363" t="s">
        <v>837</v>
      </c>
      <c r="C268" s="364"/>
      <c r="D268" s="364">
        <v>6873</v>
      </c>
      <c r="E268" s="364">
        <v>1567064</v>
      </c>
      <c r="F268" s="364">
        <v>107764</v>
      </c>
      <c r="G268" s="364">
        <v>691288</v>
      </c>
      <c r="H268" s="364">
        <v>1630106</v>
      </c>
      <c r="I268" s="364">
        <v>795824</v>
      </c>
    </row>
    <row r="269" spans="2:9" x14ac:dyDescent="0.55000000000000004">
      <c r="B269" s="361" t="s">
        <v>838</v>
      </c>
      <c r="C269" s="362"/>
      <c r="D269" s="362">
        <v>1000</v>
      </c>
      <c r="E269" s="362">
        <v>1000</v>
      </c>
      <c r="F269" s="362">
        <v>2070205</v>
      </c>
      <c r="G269" s="362">
        <v>684705</v>
      </c>
      <c r="H269" s="362">
        <v>1081705</v>
      </c>
      <c r="I269" s="362">
        <v>534948</v>
      </c>
    </row>
    <row r="270" spans="2:9" x14ac:dyDescent="0.55000000000000004">
      <c r="B270" s="363" t="s">
        <v>839</v>
      </c>
      <c r="C270" s="364"/>
      <c r="D270" s="364">
        <v>425910</v>
      </c>
      <c r="E270" s="364">
        <v>1321478</v>
      </c>
      <c r="F270" s="364">
        <v>1882903</v>
      </c>
      <c r="G270" s="364">
        <v>1818477</v>
      </c>
      <c r="H270" s="364">
        <v>2867698</v>
      </c>
      <c r="I270" s="364">
        <v>5876340</v>
      </c>
    </row>
    <row r="271" spans="2:9" x14ac:dyDescent="0.55000000000000004">
      <c r="B271" s="361" t="s">
        <v>840</v>
      </c>
      <c r="C271" s="362"/>
      <c r="D271" s="362">
        <v>3114170</v>
      </c>
      <c r="E271" s="362">
        <v>4061982</v>
      </c>
      <c r="F271" s="362">
        <v>4127020</v>
      </c>
      <c r="G271" s="362">
        <v>13695561</v>
      </c>
      <c r="H271" s="362">
        <v>16523076</v>
      </c>
      <c r="I271" s="362">
        <v>29547150</v>
      </c>
    </row>
    <row r="272" spans="2:9" x14ac:dyDescent="0.55000000000000004">
      <c r="B272" s="363" t="s">
        <v>841</v>
      </c>
      <c r="C272" s="364"/>
      <c r="D272" s="364">
        <v>187952</v>
      </c>
      <c r="E272" s="364">
        <v>273048</v>
      </c>
      <c r="F272" s="364">
        <v>393740</v>
      </c>
      <c r="G272" s="364">
        <v>352897</v>
      </c>
      <c r="H272" s="364">
        <v>328528</v>
      </c>
      <c r="I272" s="364">
        <v>311893</v>
      </c>
    </row>
    <row r="273" spans="2:9" x14ac:dyDescent="0.55000000000000004">
      <c r="B273" s="361" t="s">
        <v>872</v>
      </c>
      <c r="C273" s="362"/>
      <c r="D273" s="362">
        <v>0</v>
      </c>
      <c r="E273" s="362">
        <v>0</v>
      </c>
      <c r="F273" s="362">
        <v>0</v>
      </c>
      <c r="G273" s="362">
        <v>0</v>
      </c>
      <c r="H273" s="362">
        <v>0</v>
      </c>
      <c r="I273" s="362">
        <v>0</v>
      </c>
    </row>
    <row r="274" spans="2:9" x14ac:dyDescent="0.55000000000000004">
      <c r="B274" s="365" t="s">
        <v>843</v>
      </c>
      <c r="C274" s="366"/>
      <c r="D274" s="366">
        <v>3735905</v>
      </c>
      <c r="E274" s="366">
        <v>7224572</v>
      </c>
      <c r="F274" s="366">
        <v>8581632</v>
      </c>
      <c r="G274" s="366">
        <v>17242928</v>
      </c>
      <c r="H274" s="366">
        <v>22431113</v>
      </c>
      <c r="I274" s="366">
        <v>37066155</v>
      </c>
    </row>
    <row r="275" spans="2:9" x14ac:dyDescent="0.55000000000000004">
      <c r="B275" s="361" t="s">
        <v>873</v>
      </c>
      <c r="C275" s="362"/>
      <c r="D275" s="362">
        <v>0</v>
      </c>
      <c r="E275" s="362">
        <v>0</v>
      </c>
      <c r="F275" s="362">
        <v>19168</v>
      </c>
      <c r="G275" s="362">
        <v>18507</v>
      </c>
      <c r="H275" s="362">
        <v>18347</v>
      </c>
      <c r="I275" s="362">
        <v>12779</v>
      </c>
    </row>
    <row r="276" spans="2:9" x14ac:dyDescent="0.55000000000000004">
      <c r="B276" s="363" t="s">
        <v>845</v>
      </c>
      <c r="C276" s="364"/>
      <c r="D276" s="364">
        <v>0</v>
      </c>
      <c r="E276" s="364">
        <v>0</v>
      </c>
      <c r="F276" s="364">
        <v>1000</v>
      </c>
      <c r="G276" s="364">
        <v>1000</v>
      </c>
      <c r="H276" s="364">
        <v>1000</v>
      </c>
      <c r="I276" s="364">
        <v>1000</v>
      </c>
    </row>
    <row r="277" spans="2:9" x14ac:dyDescent="0.55000000000000004">
      <c r="B277" s="361" t="s">
        <v>874</v>
      </c>
      <c r="C277" s="362"/>
      <c r="D277" s="362">
        <v>0</v>
      </c>
      <c r="E277" s="362">
        <v>0</v>
      </c>
      <c r="F277" s="362">
        <v>0</v>
      </c>
      <c r="G277" s="362">
        <v>0</v>
      </c>
      <c r="H277" s="362">
        <v>0</v>
      </c>
      <c r="I277" s="362">
        <v>0</v>
      </c>
    </row>
    <row r="278" spans="2:9" x14ac:dyDescent="0.55000000000000004">
      <c r="B278" s="363" t="s">
        <v>847</v>
      </c>
      <c r="C278" s="364"/>
      <c r="D278" s="364">
        <v>8710789</v>
      </c>
      <c r="E278" s="364">
        <v>8658955</v>
      </c>
      <c r="F278" s="364">
        <v>8714097</v>
      </c>
      <c r="G278" s="364">
        <v>10233893</v>
      </c>
      <c r="H278" s="364">
        <v>10373942</v>
      </c>
      <c r="I278" s="364">
        <v>10603803</v>
      </c>
    </row>
    <row r="279" spans="2:9" x14ac:dyDescent="0.55000000000000004">
      <c r="B279" s="361" t="s">
        <v>848</v>
      </c>
      <c r="C279" s="362"/>
      <c r="D279" s="362">
        <v>0</v>
      </c>
      <c r="E279" s="362">
        <v>0</v>
      </c>
      <c r="F279" s="362">
        <v>0</v>
      </c>
      <c r="G279" s="362">
        <v>0</v>
      </c>
      <c r="H279" s="362">
        <v>0</v>
      </c>
      <c r="I279" s="362">
        <v>0</v>
      </c>
    </row>
    <row r="280" spans="2:9" x14ac:dyDescent="0.55000000000000004">
      <c r="B280" s="363" t="s">
        <v>875</v>
      </c>
      <c r="C280" s="364"/>
      <c r="D280" s="364" t="s">
        <v>23</v>
      </c>
      <c r="E280" s="364" t="s">
        <v>23</v>
      </c>
      <c r="F280" s="364" t="s">
        <v>23</v>
      </c>
      <c r="G280" s="364" t="s">
        <v>23</v>
      </c>
      <c r="H280" s="364" t="s">
        <v>23</v>
      </c>
      <c r="I280" s="364" t="s">
        <v>23</v>
      </c>
    </row>
    <row r="281" spans="2:9" x14ac:dyDescent="0.55000000000000004">
      <c r="B281" s="361" t="s">
        <v>844</v>
      </c>
      <c r="C281" s="362"/>
      <c r="D281" s="362">
        <v>40005</v>
      </c>
      <c r="E281" s="362">
        <v>37109</v>
      </c>
      <c r="F281" s="362">
        <v>32946</v>
      </c>
      <c r="G281" s="362">
        <v>301421</v>
      </c>
      <c r="H281" s="362">
        <v>248549</v>
      </c>
      <c r="I281" s="362">
        <v>259393</v>
      </c>
    </row>
    <row r="282" spans="2:9" x14ac:dyDescent="0.55000000000000004">
      <c r="B282" s="365" t="s">
        <v>851</v>
      </c>
      <c r="C282" s="366"/>
      <c r="D282" s="366">
        <v>8750794</v>
      </c>
      <c r="E282" s="366">
        <v>8696064</v>
      </c>
      <c r="F282" s="366">
        <v>8767211</v>
      </c>
      <c r="G282" s="366">
        <v>10554821</v>
      </c>
      <c r="H282" s="366">
        <v>10641838</v>
      </c>
      <c r="I282" s="366">
        <v>10876975</v>
      </c>
    </row>
    <row r="283" spans="2:9" x14ac:dyDescent="0.55000000000000004">
      <c r="B283" s="367" t="s">
        <v>846</v>
      </c>
      <c r="C283" s="368"/>
      <c r="D283" s="368">
        <v>12486699</v>
      </c>
      <c r="E283" s="368">
        <v>15920636</v>
      </c>
      <c r="F283" s="368">
        <v>17348843</v>
      </c>
      <c r="G283" s="368">
        <v>27797749</v>
      </c>
      <c r="H283" s="368">
        <v>33072951</v>
      </c>
      <c r="I283" s="368">
        <v>47943130</v>
      </c>
    </row>
    <row r="284" spans="2:9" x14ac:dyDescent="0.55000000000000004">
      <c r="B284" s="398" t="s">
        <v>854</v>
      </c>
      <c r="C284" s="399"/>
      <c r="D284" s="399"/>
      <c r="E284" s="399"/>
      <c r="F284" s="399"/>
      <c r="G284" s="399"/>
      <c r="H284" s="399"/>
      <c r="I284" s="399"/>
    </row>
    <row r="285" spans="2:9" x14ac:dyDescent="0.55000000000000004">
      <c r="B285" s="363" t="s">
        <v>849</v>
      </c>
      <c r="C285" s="364"/>
      <c r="D285" s="364">
        <v>8800579</v>
      </c>
      <c r="E285" s="364">
        <v>11789876</v>
      </c>
      <c r="F285" s="364">
        <v>12580650</v>
      </c>
      <c r="G285" s="364">
        <v>19791294</v>
      </c>
      <c r="H285" s="364">
        <v>24562795</v>
      </c>
      <c r="I285" s="364">
        <v>16383446</v>
      </c>
    </row>
    <row r="286" spans="2:9" x14ac:dyDescent="0.55000000000000004">
      <c r="B286" s="361" t="s">
        <v>876</v>
      </c>
      <c r="C286" s="362"/>
      <c r="D286" s="362" t="s">
        <v>23</v>
      </c>
      <c r="E286" s="362" t="s">
        <v>23</v>
      </c>
      <c r="F286" s="362" t="s">
        <v>23</v>
      </c>
      <c r="G286" s="362" t="s">
        <v>23</v>
      </c>
      <c r="H286" s="362" t="s">
        <v>23</v>
      </c>
      <c r="I286" s="362" t="s">
        <v>23</v>
      </c>
    </row>
    <row r="287" spans="2:9" x14ac:dyDescent="0.55000000000000004">
      <c r="B287" s="363" t="s">
        <v>856</v>
      </c>
      <c r="C287" s="364"/>
      <c r="D287" s="364">
        <v>131031</v>
      </c>
      <c r="E287" s="364">
        <v>130787</v>
      </c>
      <c r="F287" s="364">
        <v>130677</v>
      </c>
      <c r="G287" s="364">
        <v>142991</v>
      </c>
      <c r="H287" s="364">
        <v>0</v>
      </c>
      <c r="I287" s="364">
        <v>0</v>
      </c>
    </row>
    <row r="288" spans="2:9" x14ac:dyDescent="0.55000000000000004">
      <c r="B288" s="361" t="s">
        <v>850</v>
      </c>
      <c r="C288" s="362"/>
      <c r="D288" s="362">
        <v>0</v>
      </c>
      <c r="E288" s="362">
        <v>0</v>
      </c>
      <c r="F288" s="362">
        <v>30088</v>
      </c>
      <c r="G288" s="362">
        <v>463288</v>
      </c>
      <c r="H288" s="362">
        <v>236180</v>
      </c>
      <c r="I288" s="362">
        <v>3009488</v>
      </c>
    </row>
    <row r="289" spans="2:9" x14ac:dyDescent="0.55000000000000004">
      <c r="B289" s="363" t="s">
        <v>852</v>
      </c>
      <c r="C289" s="364"/>
      <c r="D289" s="364">
        <v>593119</v>
      </c>
      <c r="E289" s="364">
        <v>23804</v>
      </c>
      <c r="F289" s="364">
        <v>38065</v>
      </c>
      <c r="G289" s="364">
        <v>33118</v>
      </c>
      <c r="H289" s="364">
        <v>448474</v>
      </c>
      <c r="I289" s="364">
        <v>97544</v>
      </c>
    </row>
    <row r="290" spans="2:9" x14ac:dyDescent="0.55000000000000004">
      <c r="B290" s="361" t="s">
        <v>859</v>
      </c>
      <c r="C290" s="362"/>
      <c r="D290" s="362">
        <v>1404361</v>
      </c>
      <c r="E290" s="362">
        <v>1472911</v>
      </c>
      <c r="F290" s="362">
        <v>1465042</v>
      </c>
      <c r="G290" s="362">
        <v>2296475</v>
      </c>
      <c r="H290" s="362">
        <v>1909768</v>
      </c>
      <c r="I290" s="362">
        <v>4471208</v>
      </c>
    </row>
    <row r="291" spans="2:9" x14ac:dyDescent="0.55000000000000004">
      <c r="B291" s="363" t="s">
        <v>877</v>
      </c>
      <c r="C291" s="364"/>
      <c r="D291" s="364">
        <v>0</v>
      </c>
      <c r="E291" s="364">
        <v>0</v>
      </c>
      <c r="F291" s="364">
        <v>0</v>
      </c>
      <c r="G291" s="364">
        <v>0</v>
      </c>
      <c r="H291" s="364">
        <v>0</v>
      </c>
      <c r="I291" s="364">
        <v>0</v>
      </c>
    </row>
    <row r="292" spans="2:9" x14ac:dyDescent="0.55000000000000004">
      <c r="B292" s="361" t="s">
        <v>878</v>
      </c>
      <c r="C292" s="362"/>
      <c r="D292" s="362">
        <v>0</v>
      </c>
      <c r="E292" s="362">
        <v>0</v>
      </c>
      <c r="F292" s="362">
        <v>0</v>
      </c>
      <c r="G292" s="362">
        <v>0</v>
      </c>
      <c r="H292" s="362">
        <v>0</v>
      </c>
      <c r="I292" s="362">
        <v>0</v>
      </c>
    </row>
    <row r="293" spans="2:9" x14ac:dyDescent="0.55000000000000004">
      <c r="B293" s="365" t="s">
        <v>860</v>
      </c>
      <c r="C293" s="366"/>
      <c r="D293" s="366">
        <v>10929090</v>
      </c>
      <c r="E293" s="366">
        <v>13417378</v>
      </c>
      <c r="F293" s="366">
        <v>14244522</v>
      </c>
      <c r="G293" s="366">
        <v>22727166</v>
      </c>
      <c r="H293" s="366">
        <v>27157217</v>
      </c>
      <c r="I293" s="366">
        <v>23961686</v>
      </c>
    </row>
    <row r="294" spans="2:9" x14ac:dyDescent="0.55000000000000004">
      <c r="B294" s="361" t="s">
        <v>862</v>
      </c>
      <c r="C294" s="362"/>
      <c r="D294" s="362">
        <v>0</v>
      </c>
      <c r="E294" s="362">
        <v>0</v>
      </c>
      <c r="F294" s="362">
        <v>0</v>
      </c>
      <c r="G294" s="362">
        <v>0</v>
      </c>
      <c r="H294" s="362">
        <v>0</v>
      </c>
      <c r="I294" s="362">
        <v>0</v>
      </c>
    </row>
    <row r="295" spans="2:9" x14ac:dyDescent="0.55000000000000004">
      <c r="B295" s="363" t="s">
        <v>879</v>
      </c>
      <c r="C295" s="364"/>
      <c r="D295" s="364">
        <v>0</v>
      </c>
      <c r="E295" s="364">
        <v>0</v>
      </c>
      <c r="F295" s="364">
        <v>0</v>
      </c>
      <c r="G295" s="364" t="s">
        <v>23</v>
      </c>
      <c r="H295" s="364" t="s">
        <v>23</v>
      </c>
      <c r="I295" s="364" t="s">
        <v>23</v>
      </c>
    </row>
    <row r="296" spans="2:9" x14ac:dyDescent="0.55000000000000004">
      <c r="B296" s="361" t="s">
        <v>880</v>
      </c>
      <c r="C296" s="362"/>
      <c r="D296" s="362">
        <v>479278</v>
      </c>
      <c r="E296" s="362">
        <v>260992</v>
      </c>
      <c r="F296" s="362">
        <v>0</v>
      </c>
      <c r="G296" s="362">
        <v>0</v>
      </c>
      <c r="H296" s="362">
        <v>0</v>
      </c>
      <c r="I296" s="362">
        <v>0</v>
      </c>
    </row>
    <row r="297" spans="2:9" x14ac:dyDescent="0.55000000000000004">
      <c r="B297" s="363" t="s">
        <v>863</v>
      </c>
      <c r="C297" s="364"/>
      <c r="D297" s="364">
        <v>300883</v>
      </c>
      <c r="E297" s="364">
        <v>358045</v>
      </c>
      <c r="F297" s="364">
        <v>408949</v>
      </c>
      <c r="G297" s="364">
        <v>431001</v>
      </c>
      <c r="H297" s="364">
        <v>543605</v>
      </c>
      <c r="I297" s="364">
        <v>704866</v>
      </c>
    </row>
    <row r="298" spans="2:9" x14ac:dyDescent="0.55000000000000004">
      <c r="B298" s="367" t="s">
        <v>864</v>
      </c>
      <c r="C298" s="368"/>
      <c r="D298" s="368">
        <v>780161</v>
      </c>
      <c r="E298" s="368">
        <v>619037</v>
      </c>
      <c r="F298" s="368">
        <v>408949</v>
      </c>
      <c r="G298" s="368">
        <v>431001</v>
      </c>
      <c r="H298" s="368">
        <v>543605</v>
      </c>
      <c r="I298" s="368">
        <v>704866</v>
      </c>
    </row>
    <row r="299" spans="2:9" x14ac:dyDescent="0.55000000000000004">
      <c r="B299" s="365" t="s">
        <v>865</v>
      </c>
      <c r="C299" s="366"/>
      <c r="D299" s="366">
        <v>11709251</v>
      </c>
      <c r="E299" s="366">
        <v>14036415</v>
      </c>
      <c r="F299" s="366">
        <v>14653471</v>
      </c>
      <c r="G299" s="366">
        <v>23158167</v>
      </c>
      <c r="H299" s="366">
        <v>27700822</v>
      </c>
      <c r="I299" s="366">
        <v>24666552</v>
      </c>
    </row>
    <row r="300" spans="2:9" x14ac:dyDescent="0.55000000000000004">
      <c r="B300" s="398" t="s">
        <v>866</v>
      </c>
      <c r="C300" s="399"/>
      <c r="D300" s="399"/>
      <c r="E300" s="399"/>
      <c r="F300" s="399"/>
      <c r="G300" s="399"/>
      <c r="H300" s="399"/>
      <c r="I300" s="399"/>
    </row>
    <row r="301" spans="2:9" x14ac:dyDescent="0.55000000000000004">
      <c r="B301" s="363" t="s">
        <v>66</v>
      </c>
      <c r="C301" s="364"/>
      <c r="D301" s="364">
        <v>1143422</v>
      </c>
      <c r="E301" s="364">
        <v>1143422</v>
      </c>
      <c r="F301" s="364">
        <v>1143422</v>
      </c>
      <c r="G301" s="364">
        <v>1143422</v>
      </c>
      <c r="H301" s="364">
        <v>1143422</v>
      </c>
      <c r="I301" s="364">
        <v>1143422</v>
      </c>
    </row>
    <row r="302" spans="2:9" x14ac:dyDescent="0.55000000000000004">
      <c r="B302" s="361" t="s">
        <v>881</v>
      </c>
      <c r="C302" s="362"/>
      <c r="D302" s="362">
        <v>0</v>
      </c>
      <c r="E302" s="362">
        <v>0</v>
      </c>
      <c r="F302" s="362">
        <v>0</v>
      </c>
      <c r="G302" s="362">
        <v>0</v>
      </c>
      <c r="H302" s="362">
        <v>0</v>
      </c>
      <c r="I302" s="362">
        <v>0</v>
      </c>
    </row>
    <row r="303" spans="2:9" x14ac:dyDescent="0.55000000000000004">
      <c r="B303" s="363" t="s">
        <v>882</v>
      </c>
      <c r="C303" s="364"/>
      <c r="D303" s="364">
        <v>0</v>
      </c>
      <c r="E303" s="364">
        <v>0</v>
      </c>
      <c r="F303" s="364">
        <v>0</v>
      </c>
      <c r="G303" s="364">
        <v>0</v>
      </c>
      <c r="H303" s="364">
        <v>0</v>
      </c>
      <c r="I303" s="364">
        <v>0</v>
      </c>
    </row>
    <row r="304" spans="2:9" x14ac:dyDescent="0.55000000000000004">
      <c r="B304" s="361" t="s">
        <v>883</v>
      </c>
      <c r="C304" s="362"/>
      <c r="D304" s="362">
        <v>0</v>
      </c>
      <c r="E304" s="362">
        <v>0</v>
      </c>
      <c r="F304" s="362">
        <v>0</v>
      </c>
      <c r="G304" s="362">
        <v>0</v>
      </c>
      <c r="H304" s="362">
        <v>0</v>
      </c>
      <c r="I304" s="362">
        <v>-128406</v>
      </c>
    </row>
    <row r="305" spans="2:9" x14ac:dyDescent="0.55000000000000004">
      <c r="B305" s="363" t="s">
        <v>884</v>
      </c>
      <c r="C305" s="364"/>
      <c r="D305" s="364" t="s">
        <v>23</v>
      </c>
      <c r="E305" s="364" t="s">
        <v>23</v>
      </c>
      <c r="F305" s="364" t="s">
        <v>23</v>
      </c>
      <c r="G305" s="364">
        <v>0</v>
      </c>
      <c r="H305" s="364">
        <v>0</v>
      </c>
      <c r="I305" s="364">
        <v>829</v>
      </c>
    </row>
    <row r="306" spans="2:9" x14ac:dyDescent="0.55000000000000004">
      <c r="B306" s="361" t="s">
        <v>867</v>
      </c>
      <c r="C306" s="362"/>
      <c r="D306" s="362">
        <v>52146</v>
      </c>
      <c r="E306" s="362">
        <v>86579</v>
      </c>
      <c r="F306" s="362">
        <v>114342</v>
      </c>
      <c r="G306" s="362">
        <v>114342</v>
      </c>
      <c r="H306" s="362">
        <v>114342</v>
      </c>
      <c r="I306" s="362">
        <v>114342</v>
      </c>
    </row>
    <row r="307" spans="2:9" x14ac:dyDescent="0.55000000000000004">
      <c r="B307" s="363" t="s">
        <v>857</v>
      </c>
      <c r="C307" s="364"/>
      <c r="D307" s="364">
        <v>0</v>
      </c>
      <c r="E307" s="364">
        <v>0</v>
      </c>
      <c r="F307" s="364">
        <v>0</v>
      </c>
      <c r="G307" s="364">
        <v>0</v>
      </c>
      <c r="H307" s="364">
        <v>0</v>
      </c>
      <c r="I307" s="364">
        <v>0</v>
      </c>
    </row>
    <row r="308" spans="2:9" x14ac:dyDescent="0.55000000000000004">
      <c r="B308" s="361" t="s">
        <v>885</v>
      </c>
      <c r="C308" s="362"/>
      <c r="D308" s="362">
        <v>0</v>
      </c>
      <c r="E308" s="362">
        <v>0</v>
      </c>
      <c r="F308" s="362">
        <v>0</v>
      </c>
      <c r="G308" s="362" t="s">
        <v>23</v>
      </c>
      <c r="H308" s="362" t="s">
        <v>23</v>
      </c>
      <c r="I308" s="362" t="s">
        <v>23</v>
      </c>
    </row>
    <row r="309" spans="2:9" x14ac:dyDescent="0.55000000000000004">
      <c r="B309" s="363" t="s">
        <v>886</v>
      </c>
      <c r="C309" s="364"/>
      <c r="D309" s="364">
        <v>0</v>
      </c>
      <c r="E309" s="364">
        <v>0</v>
      </c>
      <c r="F309" s="364">
        <v>0</v>
      </c>
      <c r="G309" s="364">
        <v>0</v>
      </c>
      <c r="H309" s="364">
        <v>0</v>
      </c>
      <c r="I309" s="364">
        <v>0</v>
      </c>
    </row>
    <row r="310" spans="2:9" x14ac:dyDescent="0.55000000000000004">
      <c r="B310" s="361" t="s">
        <v>887</v>
      </c>
      <c r="C310" s="362"/>
      <c r="D310" s="362">
        <v>0</v>
      </c>
      <c r="E310" s="362">
        <v>0</v>
      </c>
      <c r="F310" s="362">
        <v>0</v>
      </c>
      <c r="G310" s="362" t="s">
        <v>23</v>
      </c>
      <c r="H310" s="362" t="s">
        <v>23</v>
      </c>
      <c r="I310" s="362" t="s">
        <v>23</v>
      </c>
    </row>
    <row r="311" spans="2:9" x14ac:dyDescent="0.55000000000000004">
      <c r="B311" s="363" t="s">
        <v>888</v>
      </c>
      <c r="C311" s="364"/>
      <c r="D311" s="364">
        <v>0</v>
      </c>
      <c r="E311" s="364">
        <v>0</v>
      </c>
      <c r="F311" s="364">
        <v>0</v>
      </c>
      <c r="G311" s="364">
        <v>0</v>
      </c>
      <c r="H311" s="364">
        <v>0</v>
      </c>
      <c r="I311" s="364">
        <v>0</v>
      </c>
    </row>
    <row r="312" spans="2:9" x14ac:dyDescent="0.55000000000000004">
      <c r="B312" s="361" t="s">
        <v>858</v>
      </c>
      <c r="C312" s="362"/>
      <c r="D312" s="362">
        <v>-418120</v>
      </c>
      <c r="E312" s="362">
        <v>654220</v>
      </c>
      <c r="F312" s="362">
        <v>1437608</v>
      </c>
      <c r="G312" s="362">
        <v>3381818</v>
      </c>
      <c r="H312" s="362">
        <v>4114365</v>
      </c>
      <c r="I312" s="362">
        <v>22146391</v>
      </c>
    </row>
    <row r="313" spans="2:9" x14ac:dyDescent="0.55000000000000004">
      <c r="B313" s="365" t="s">
        <v>868</v>
      </c>
      <c r="C313" s="366"/>
      <c r="D313" s="366">
        <v>777448</v>
      </c>
      <c r="E313" s="366">
        <v>1884221</v>
      </c>
      <c r="F313" s="366">
        <v>2695372</v>
      </c>
      <c r="G313" s="366">
        <v>4639582</v>
      </c>
      <c r="H313" s="366">
        <v>5372129</v>
      </c>
      <c r="I313" s="366">
        <v>23276578</v>
      </c>
    </row>
    <row r="314" spans="2:9" x14ac:dyDescent="0.55000000000000004">
      <c r="B314" s="367" t="s">
        <v>869</v>
      </c>
      <c r="C314" s="368"/>
      <c r="D314" s="368">
        <v>12486699</v>
      </c>
      <c r="E314" s="368">
        <v>15920636</v>
      </c>
      <c r="F314" s="368">
        <v>17348843</v>
      </c>
      <c r="G314" s="368">
        <v>27797749</v>
      </c>
      <c r="H314" s="368">
        <v>33072951</v>
      </c>
      <c r="I314" s="368">
        <v>47943130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Z341"/>
  <sheetViews>
    <sheetView zoomScale="20" zoomScaleNormal="20" workbookViewId="0">
      <selection activeCell="U55" sqref="U55"/>
    </sheetView>
  </sheetViews>
  <sheetFormatPr defaultRowHeight="19.899999999999999" x14ac:dyDescent="0.65"/>
  <cols>
    <col min="1" max="4" width="8.7265625" style="614"/>
    <col min="5" max="5" width="55" style="614" bestFit="1" customWidth="1"/>
    <col min="6" max="6" width="11.36328125" style="614" customWidth="1"/>
    <col min="7" max="7" width="11.453125" style="614" bestFit="1" customWidth="1"/>
    <col min="8" max="8" width="12.6328125" style="614" bestFit="1" customWidth="1"/>
    <col min="9" max="9" width="12.90625" style="614" customWidth="1"/>
    <col min="10" max="11" width="10.26953125" style="614" customWidth="1"/>
    <col min="12" max="13" width="8.7265625" style="614"/>
    <col min="14" max="14" width="9.90625" style="614" customWidth="1"/>
    <col min="15" max="15" width="20.81640625" style="614" bestFit="1" customWidth="1"/>
    <col min="16" max="20" width="13" style="614" bestFit="1" customWidth="1"/>
    <col min="21" max="21" width="12.54296875" style="614" bestFit="1" customWidth="1"/>
    <col min="22" max="23" width="8.7265625" style="614"/>
    <col min="24" max="25" width="19.08984375" style="614" customWidth="1"/>
    <col min="26" max="26" width="12.6328125" style="614" customWidth="1"/>
    <col min="27" max="16384" width="8.7265625" style="614"/>
  </cols>
  <sheetData>
    <row r="4" spans="5:26" x14ac:dyDescent="0.65">
      <c r="E4" s="613" t="s">
        <v>902</v>
      </c>
      <c r="F4" s="613" t="s">
        <v>683</v>
      </c>
      <c r="G4" s="613" t="s">
        <v>689</v>
      </c>
      <c r="H4" s="613" t="s">
        <v>903</v>
      </c>
      <c r="I4" s="613" t="s">
        <v>904</v>
      </c>
      <c r="J4" s="613" t="s">
        <v>905</v>
      </c>
      <c r="K4" s="613" t="s">
        <v>906</v>
      </c>
      <c r="O4" s="615" t="s">
        <v>798</v>
      </c>
      <c r="P4" s="615"/>
      <c r="Q4" s="615"/>
      <c r="R4" s="615"/>
      <c r="S4" s="615"/>
      <c r="T4" s="615"/>
      <c r="U4" s="616" t="s">
        <v>907</v>
      </c>
      <c r="W4" s="613" t="s">
        <v>902</v>
      </c>
      <c r="X4" s="613" t="s">
        <v>908</v>
      </c>
      <c r="Y4" s="613" t="s">
        <v>909</v>
      </c>
      <c r="Z4" s="613" t="s">
        <v>910</v>
      </c>
    </row>
    <row r="5" spans="5:26" x14ac:dyDescent="0.65">
      <c r="E5" s="613" t="s">
        <v>798</v>
      </c>
      <c r="F5" s="617">
        <v>4.6900000000000004</v>
      </c>
      <c r="G5" s="617">
        <v>0.52</v>
      </c>
      <c r="H5" s="617">
        <v>2.92</v>
      </c>
      <c r="I5" s="617">
        <v>9.3699999999999992</v>
      </c>
      <c r="J5" s="617">
        <v>8.91</v>
      </c>
      <c r="K5" s="617">
        <v>3.48</v>
      </c>
      <c r="N5" s="618"/>
      <c r="O5" s="619" t="s">
        <v>3</v>
      </c>
      <c r="P5" s="620">
        <v>164211304</v>
      </c>
      <c r="Q5" s="620">
        <v>222311389</v>
      </c>
      <c r="R5" s="620">
        <v>453226514</v>
      </c>
      <c r="S5" s="620">
        <v>720189020</v>
      </c>
      <c r="T5" s="620">
        <v>894983110</v>
      </c>
      <c r="U5" s="616"/>
      <c r="W5" s="613" t="s">
        <v>798</v>
      </c>
      <c r="X5" s="621">
        <f>U6</f>
        <v>0.55606168845871884</v>
      </c>
      <c r="Y5" s="621">
        <f>U8</f>
        <v>1.4910399775488481</v>
      </c>
      <c r="Z5" s="621">
        <f>U10</f>
        <v>1.4699546572388327</v>
      </c>
    </row>
    <row r="6" spans="5:26" x14ac:dyDescent="0.65">
      <c r="E6" s="613" t="s">
        <v>790</v>
      </c>
      <c r="F6" s="617">
        <v>5.2</v>
      </c>
      <c r="G6" s="617">
        <v>0.43</v>
      </c>
      <c r="H6" s="617">
        <v>2.72</v>
      </c>
      <c r="I6" s="617">
        <v>8.73</v>
      </c>
      <c r="J6" s="617">
        <v>5.68</v>
      </c>
      <c r="K6" s="617">
        <v>4.04</v>
      </c>
      <c r="N6" s="618"/>
      <c r="O6" s="619" t="s">
        <v>911</v>
      </c>
      <c r="P6" s="620"/>
      <c r="Q6" s="622">
        <f>Q5/P5-1</f>
        <v>0.35381294457049073</v>
      </c>
      <c r="R6" s="622">
        <f>R5/Q5-1</f>
        <v>1.0387012830908091</v>
      </c>
      <c r="S6" s="622">
        <f>S5/R5-1</f>
        <v>0.58902667375721984</v>
      </c>
      <c r="T6" s="622">
        <f>T5/S5-1</f>
        <v>0.24270585241635589</v>
      </c>
      <c r="U6" s="623">
        <f>AVERAGE(Q6:T6)</f>
        <v>0.55606168845871884</v>
      </c>
      <c r="W6" s="613" t="s">
        <v>790</v>
      </c>
      <c r="X6" s="624">
        <f>U13</f>
        <v>0.57335698940931312</v>
      </c>
      <c r="Y6" s="624">
        <f>U15</f>
        <v>1.5569447662872222</v>
      </c>
      <c r="Z6" s="621">
        <f>U17</f>
        <v>1.5502789310047449</v>
      </c>
    </row>
    <row r="7" spans="5:26" x14ac:dyDescent="0.65">
      <c r="E7" s="613" t="s">
        <v>780</v>
      </c>
      <c r="F7" s="617">
        <v>5.07</v>
      </c>
      <c r="G7" s="617">
        <v>0.56999999999999995</v>
      </c>
      <c r="H7" s="617">
        <v>4.93</v>
      </c>
      <c r="I7" s="617">
        <v>13.5</v>
      </c>
      <c r="J7" s="617">
        <v>13.5</v>
      </c>
      <c r="K7" s="617">
        <v>4.22</v>
      </c>
      <c r="N7" s="618"/>
      <c r="O7" s="625" t="s">
        <v>57</v>
      </c>
      <c r="P7" s="626">
        <v>12517911</v>
      </c>
      <c r="Q7" s="626">
        <v>14924729</v>
      </c>
      <c r="R7" s="626">
        <v>41364523</v>
      </c>
      <c r="S7" s="626">
        <v>28864651</v>
      </c>
      <c r="T7" s="626">
        <v>153055838</v>
      </c>
      <c r="U7" s="616"/>
      <c r="W7" s="613" t="s">
        <v>780</v>
      </c>
      <c r="X7" s="624">
        <f>U20</f>
        <v>0.58290065936983537</v>
      </c>
      <c r="Y7" s="624">
        <f>U22</f>
        <v>1.294162939347665</v>
      </c>
      <c r="Z7" s="621">
        <f>U24</f>
        <v>1.8490496933554905</v>
      </c>
    </row>
    <row r="8" spans="5:26" x14ac:dyDescent="0.65">
      <c r="E8" s="613" t="s">
        <v>771</v>
      </c>
      <c r="F8" s="617">
        <v>4.25</v>
      </c>
      <c r="G8" s="617">
        <v>0.56000000000000005</v>
      </c>
      <c r="H8" s="617">
        <v>2.5</v>
      </c>
      <c r="I8" s="617">
        <v>7.09</v>
      </c>
      <c r="J8" s="617">
        <v>7.13</v>
      </c>
      <c r="K8" s="617">
        <v>3.87</v>
      </c>
      <c r="N8" s="618"/>
      <c r="O8" s="625" t="s">
        <v>912</v>
      </c>
      <c r="P8" s="626"/>
      <c r="Q8" s="622">
        <f>Q7/P7-1</f>
        <v>0.19226994024801747</v>
      </c>
      <c r="R8" s="622">
        <f>R7/Q7-1</f>
        <v>1.7715426524662523</v>
      </c>
      <c r="S8" s="622">
        <f>S7/R7-1</f>
        <v>-0.3021882302377813</v>
      </c>
      <c r="T8" s="622">
        <f>T7/S7-1</f>
        <v>4.3025355477189038</v>
      </c>
      <c r="U8" s="623">
        <f>AVERAGE(Q8:T8)</f>
        <v>1.4910399775488481</v>
      </c>
      <c r="W8" s="613" t="s">
        <v>771</v>
      </c>
      <c r="X8" s="624">
        <f>U27</f>
        <v>0.55862543961247701</v>
      </c>
      <c r="Y8" s="624">
        <f>U29</f>
        <v>1.1347889775125135</v>
      </c>
      <c r="Z8" s="621">
        <f>U31</f>
        <v>1.0995991547999648</v>
      </c>
    </row>
    <row r="9" spans="5:26" x14ac:dyDescent="0.65">
      <c r="E9" s="613" t="s">
        <v>913</v>
      </c>
      <c r="F9" s="617">
        <v>4.17</v>
      </c>
      <c r="G9" s="617">
        <v>0.47</v>
      </c>
      <c r="H9" s="617">
        <v>4.54</v>
      </c>
      <c r="I9" s="617">
        <v>22</v>
      </c>
      <c r="J9" s="617">
        <v>15.84</v>
      </c>
      <c r="K9" s="617">
        <v>3.1</v>
      </c>
      <c r="N9" s="618"/>
      <c r="O9" s="625" t="s">
        <v>64</v>
      </c>
      <c r="P9" s="626">
        <v>10292931</v>
      </c>
      <c r="Q9" s="626">
        <v>12314523</v>
      </c>
      <c r="R9" s="626">
        <v>35087829</v>
      </c>
      <c r="S9" s="626">
        <v>26380276</v>
      </c>
      <c r="T9" s="626">
        <v>134071751</v>
      </c>
      <c r="U9" s="616"/>
      <c r="W9" s="613" t="s">
        <v>913</v>
      </c>
      <c r="X9" s="624">
        <f>U34</f>
        <v>0.49517399100281873</v>
      </c>
      <c r="Y9" s="624">
        <f>U36</f>
        <v>1.9322646160415935</v>
      </c>
      <c r="Z9" s="621">
        <f>U38</f>
        <v>1.9274115999387049</v>
      </c>
    </row>
    <row r="10" spans="5:26" x14ac:dyDescent="0.65">
      <c r="E10" s="613" t="s">
        <v>914</v>
      </c>
      <c r="F10" s="617">
        <v>4.75</v>
      </c>
      <c r="G10" s="617">
        <v>0.55000000000000004</v>
      </c>
      <c r="H10" s="617">
        <v>2.98</v>
      </c>
      <c r="I10" s="617">
        <v>9.14</v>
      </c>
      <c r="J10" s="617">
        <v>7.93</v>
      </c>
      <c r="K10" s="617">
        <v>4.0199999999999996</v>
      </c>
      <c r="N10" s="618"/>
      <c r="O10" s="616" t="s">
        <v>915</v>
      </c>
      <c r="P10" s="616"/>
      <c r="Q10" s="622">
        <f>Q9/P9-1</f>
        <v>0.19640586340275679</v>
      </c>
      <c r="R10" s="622">
        <f>R9/Q9-1</f>
        <v>1.849304759916401</v>
      </c>
      <c r="S10" s="622">
        <f>S9/R9-1</f>
        <v>-0.24816448461373886</v>
      </c>
      <c r="T10" s="622">
        <f>T9/S9-1</f>
        <v>4.0822724902499123</v>
      </c>
      <c r="U10" s="623">
        <f>AVERAGE(Q10:T10)</f>
        <v>1.4699546572388327</v>
      </c>
      <c r="W10" s="613" t="s">
        <v>914</v>
      </c>
      <c r="X10" s="627">
        <f>AVERAGE(X5:X9)</f>
        <v>0.55322375357063258</v>
      </c>
      <c r="Y10" s="627">
        <f>AVERAGE(Y5:Y9)</f>
        <v>1.4818402553475687</v>
      </c>
      <c r="Z10" s="627">
        <f>AVERAGE(Z5:Z9)</f>
        <v>1.5792588072675477</v>
      </c>
    </row>
    <row r="11" spans="5:26" x14ac:dyDescent="0.65">
      <c r="E11" s="613" t="s">
        <v>916</v>
      </c>
      <c r="F11" s="617">
        <v>7.46</v>
      </c>
      <c r="G11" s="617">
        <v>2.38</v>
      </c>
      <c r="H11" s="617">
        <v>4.17</v>
      </c>
      <c r="I11" s="617">
        <v>12.23</v>
      </c>
      <c r="J11" s="617">
        <v>10.91</v>
      </c>
      <c r="K11" s="617">
        <v>6.94</v>
      </c>
      <c r="N11" s="618"/>
      <c r="O11" s="628" t="s">
        <v>790</v>
      </c>
      <c r="P11" s="628"/>
      <c r="Q11" s="628"/>
      <c r="R11" s="628"/>
      <c r="S11" s="628"/>
      <c r="T11" s="628"/>
      <c r="U11" s="616"/>
    </row>
    <row r="12" spans="5:26" x14ac:dyDescent="0.65">
      <c r="N12" s="618"/>
      <c r="O12" s="629" t="s">
        <v>3</v>
      </c>
      <c r="P12" s="630">
        <v>194021776</v>
      </c>
      <c r="Q12" s="630">
        <v>250853149</v>
      </c>
      <c r="R12" s="630">
        <v>485390122</v>
      </c>
      <c r="S12" s="630">
        <v>866331631</v>
      </c>
      <c r="T12" s="630">
        <v>1109548371</v>
      </c>
      <c r="U12" s="616"/>
    </row>
    <row r="13" spans="5:26" x14ac:dyDescent="0.65">
      <c r="N13" s="618"/>
      <c r="O13" s="619" t="s">
        <v>911</v>
      </c>
      <c r="P13" s="620"/>
      <c r="Q13" s="622">
        <f>Q12/P12-1</f>
        <v>0.29291234299391222</v>
      </c>
      <c r="R13" s="622">
        <f>R12/Q12-1</f>
        <v>0.93495726059233175</v>
      </c>
      <c r="S13" s="622">
        <f>S12/R12-1</f>
        <v>0.78481512444128398</v>
      </c>
      <c r="T13" s="622">
        <f>T12/S12-1</f>
        <v>0.28074322960972431</v>
      </c>
      <c r="U13" s="623">
        <f>AVERAGE(Q13:T13)</f>
        <v>0.57335698940931312</v>
      </c>
    </row>
    <row r="14" spans="5:26" x14ac:dyDescent="0.65">
      <c r="E14" s="613" t="s">
        <v>902</v>
      </c>
      <c r="F14" s="613" t="s">
        <v>917</v>
      </c>
      <c r="G14" s="613" t="s">
        <v>918</v>
      </c>
      <c r="H14" s="613" t="s">
        <v>919</v>
      </c>
      <c r="I14" s="613" t="s">
        <v>920</v>
      </c>
      <c r="J14" s="618"/>
      <c r="K14" s="618"/>
      <c r="L14" s="618"/>
      <c r="M14" s="618"/>
      <c r="N14" s="618"/>
      <c r="O14" s="629" t="s">
        <v>57</v>
      </c>
      <c r="P14" s="630">
        <v>16575211</v>
      </c>
      <c r="Q14" s="630">
        <v>22394333</v>
      </c>
      <c r="R14" s="630">
        <v>59696449</v>
      </c>
      <c r="S14" s="630">
        <v>27588154</v>
      </c>
      <c r="T14" s="630">
        <v>158600717</v>
      </c>
      <c r="U14" s="616"/>
    </row>
    <row r="15" spans="5:26" x14ac:dyDescent="0.65">
      <c r="E15" s="613" t="s">
        <v>798</v>
      </c>
      <c r="F15" s="621">
        <v>0.128</v>
      </c>
      <c r="G15" s="621">
        <f>I39</f>
        <v>0.76275319180000001</v>
      </c>
      <c r="H15" s="621">
        <f>I66</f>
        <v>0.49353801990000001</v>
      </c>
      <c r="I15" s="631">
        <f>I64</f>
        <v>2.2923244854</v>
      </c>
      <c r="J15" s="618"/>
      <c r="K15" s="618"/>
      <c r="L15" s="618"/>
      <c r="M15" s="618"/>
      <c r="O15" s="625" t="s">
        <v>912</v>
      </c>
      <c r="P15" s="626"/>
      <c r="Q15" s="622">
        <f>Q14/P14-1</f>
        <v>0.35107378120254396</v>
      </c>
      <c r="R15" s="622">
        <f>R14/Q14-1</f>
        <v>1.6656944415357224</v>
      </c>
      <c r="S15" s="622">
        <f>S14/R14-1</f>
        <v>-0.53785937920696081</v>
      </c>
      <c r="T15" s="622">
        <f>T14/S14-1</f>
        <v>4.7488702216175831</v>
      </c>
      <c r="U15" s="623">
        <f>AVERAGE(Q15:T15)</f>
        <v>1.5569447662872222</v>
      </c>
    </row>
    <row r="16" spans="5:26" x14ac:dyDescent="0.65">
      <c r="E16" s="613" t="s">
        <v>790</v>
      </c>
      <c r="F16" s="624">
        <v>0.11599999999999999</v>
      </c>
      <c r="G16" s="621">
        <f>I96</f>
        <v>0.65056517660000002</v>
      </c>
      <c r="H16" s="621">
        <f>I123</f>
        <v>0.86107584530000003</v>
      </c>
      <c r="I16" s="631">
        <f>I121</f>
        <v>2.9796844647</v>
      </c>
      <c r="J16" s="618"/>
      <c r="K16" s="618"/>
      <c r="L16" s="618"/>
      <c r="M16" s="618"/>
      <c r="O16" s="629" t="s">
        <v>64</v>
      </c>
      <c r="P16" s="630">
        <v>11460776</v>
      </c>
      <c r="Q16" s="630">
        <v>17415254</v>
      </c>
      <c r="R16" s="630">
        <v>50774556</v>
      </c>
      <c r="S16" s="630">
        <v>28524631</v>
      </c>
      <c r="T16" s="630">
        <v>148449342</v>
      </c>
      <c r="U16" s="616"/>
    </row>
    <row r="17" spans="5:21" x14ac:dyDescent="0.65">
      <c r="E17" s="613" t="s">
        <v>780</v>
      </c>
      <c r="F17" s="624">
        <v>0.13200000000000001</v>
      </c>
      <c r="G17" s="621">
        <f>I161</f>
        <v>0.84327021140000002</v>
      </c>
      <c r="H17" s="621">
        <f>I188</f>
        <v>0.47653272730000001</v>
      </c>
      <c r="I17" s="631">
        <f>I186</f>
        <v>4.0529772690000003</v>
      </c>
      <c r="J17" s="618"/>
      <c r="K17" s="618"/>
      <c r="L17" s="618"/>
      <c r="M17" s="618"/>
      <c r="O17" s="616" t="s">
        <v>915</v>
      </c>
      <c r="P17" s="616"/>
      <c r="Q17" s="622">
        <f>Q16/P16-1</f>
        <v>0.51955277722904625</v>
      </c>
      <c r="R17" s="622">
        <f>R16/Q16-1</f>
        <v>1.9155219900898373</v>
      </c>
      <c r="S17" s="622">
        <f>S16/R16-1</f>
        <v>-0.43821013422549671</v>
      </c>
      <c r="T17" s="622">
        <f>T16/S16-1</f>
        <v>4.2042510909255935</v>
      </c>
      <c r="U17" s="623">
        <f>AVERAGE(Q17:T17)</f>
        <v>1.5502789310047449</v>
      </c>
    </row>
    <row r="18" spans="5:21" x14ac:dyDescent="0.65">
      <c r="E18" s="613" t="s">
        <v>771</v>
      </c>
      <c r="F18" s="624">
        <v>0.11900000000000001</v>
      </c>
      <c r="G18" s="621">
        <f>I227</f>
        <v>0.62681207689999996</v>
      </c>
      <c r="H18" s="621">
        <f>I254</f>
        <v>0.1564628673</v>
      </c>
      <c r="I18" s="631">
        <f>I252</f>
        <v>2.3081144741999999</v>
      </c>
      <c r="K18" s="618"/>
      <c r="L18" s="618"/>
      <c r="M18" s="618"/>
      <c r="O18" s="628" t="s">
        <v>780</v>
      </c>
      <c r="P18" s="628"/>
      <c r="Q18" s="628"/>
      <c r="R18" s="628"/>
      <c r="S18" s="628"/>
      <c r="T18" s="628"/>
      <c r="U18" s="616"/>
    </row>
    <row r="19" spans="5:21" x14ac:dyDescent="0.65">
      <c r="E19" s="613" t="s">
        <v>913</v>
      </c>
      <c r="F19" s="624">
        <v>0.17100000000000001</v>
      </c>
      <c r="G19" s="621">
        <f>I293</f>
        <v>0.52924455140000004</v>
      </c>
      <c r="H19" s="621">
        <f>I320</f>
        <v>5.5537494299999997E-2</v>
      </c>
      <c r="I19" s="631">
        <f>I318</f>
        <v>1.5468926101</v>
      </c>
      <c r="L19" s="618"/>
      <c r="M19" s="618"/>
      <c r="N19" s="618"/>
      <c r="O19" s="629" t="s">
        <v>3</v>
      </c>
      <c r="P19" s="630">
        <v>60934401</v>
      </c>
      <c r="Q19" s="630">
        <v>82017675</v>
      </c>
      <c r="R19" s="630">
        <v>171496684</v>
      </c>
      <c r="S19" s="630">
        <v>258119406</v>
      </c>
      <c r="T19" s="630">
        <v>358665256</v>
      </c>
      <c r="U19" s="616"/>
    </row>
    <row r="20" spans="5:21" x14ac:dyDescent="0.65">
      <c r="E20" s="613" t="s">
        <v>914</v>
      </c>
      <c r="F20" s="627">
        <f>AVERAGE(F15:F19)</f>
        <v>0.13320000000000001</v>
      </c>
      <c r="G20" s="627">
        <f>AVERAGE(G15:G19)</f>
        <v>0.68252904162000005</v>
      </c>
      <c r="H20" s="627">
        <f>AVERAGE(H15:H19)</f>
        <v>0.40862939081999999</v>
      </c>
      <c r="I20" s="631">
        <f>AVERAGE(I15:I19)</f>
        <v>2.6359986606800003</v>
      </c>
      <c r="O20" s="619" t="s">
        <v>911</v>
      </c>
      <c r="P20" s="620"/>
      <c r="Q20" s="622">
        <f>Q19/P19-1</f>
        <v>0.34599952824677804</v>
      </c>
      <c r="R20" s="622">
        <f>R19/Q19-1</f>
        <v>1.0909722690871204</v>
      </c>
      <c r="S20" s="622">
        <f>S19/R19-1</f>
        <v>0.50509852423735491</v>
      </c>
      <c r="T20" s="622">
        <f>T19/S19-1</f>
        <v>0.3895323159080879</v>
      </c>
      <c r="U20" s="623">
        <f>AVERAGE(Q20:T20)</f>
        <v>0.58290065936983537</v>
      </c>
    </row>
    <row r="21" spans="5:21" x14ac:dyDescent="0.65">
      <c r="O21" s="629" t="s">
        <v>57</v>
      </c>
      <c r="P21" s="630">
        <v>5678688</v>
      </c>
      <c r="Q21" s="630">
        <v>7539783</v>
      </c>
      <c r="R21" s="630">
        <v>20546523</v>
      </c>
      <c r="S21" s="630">
        <v>12782070</v>
      </c>
      <c r="T21" s="630">
        <v>57541469</v>
      </c>
      <c r="U21" s="616"/>
    </row>
    <row r="22" spans="5:21" x14ac:dyDescent="0.65">
      <c r="O22" s="625" t="s">
        <v>912</v>
      </c>
      <c r="P22" s="626"/>
      <c r="Q22" s="622">
        <f>Q21/P21-1</f>
        <v>0.32773327219245019</v>
      </c>
      <c r="R22" s="622">
        <f>R21/Q21-1</f>
        <v>1.7250814778091095</v>
      </c>
      <c r="S22" s="622">
        <f>S21/R21-1</f>
        <v>-0.37789620170770499</v>
      </c>
      <c r="T22" s="622">
        <f>T21/S21-1</f>
        <v>3.5017332090968054</v>
      </c>
      <c r="U22" s="623">
        <f>AVERAGE(Q22:T22)</f>
        <v>1.294162939347665</v>
      </c>
    </row>
    <row r="23" spans="5:21" x14ac:dyDescent="0.65">
      <c r="O23" s="629" t="s">
        <v>64</v>
      </c>
      <c r="P23" s="630">
        <v>3252538</v>
      </c>
      <c r="Q23" s="630">
        <v>4301205</v>
      </c>
      <c r="R23" s="630">
        <v>16945144</v>
      </c>
      <c r="S23" s="630">
        <v>10047996</v>
      </c>
      <c r="T23" s="630">
        <v>55677801</v>
      </c>
      <c r="U23" s="616"/>
    </row>
    <row r="24" spans="5:21" x14ac:dyDescent="0.65">
      <c r="E24" s="632"/>
      <c r="F24" s="632"/>
      <c r="G24" s="632"/>
      <c r="H24" s="632"/>
      <c r="I24" s="632"/>
      <c r="J24" s="632"/>
      <c r="O24" s="616" t="s">
        <v>915</v>
      </c>
      <c r="P24" s="616"/>
      <c r="Q24" s="622">
        <f>Q23/P23-1</f>
        <v>0.32241498792635159</v>
      </c>
      <c r="R24" s="622">
        <f>R23/Q23-1</f>
        <v>2.9396271509960581</v>
      </c>
      <c r="S24" s="622">
        <f>S23/R23-1</f>
        <v>-0.40702799574910664</v>
      </c>
      <c r="T24" s="622">
        <f>T23/S23-1</f>
        <v>4.5411846302486589</v>
      </c>
      <c r="U24" s="623">
        <f>AVERAGE(Q24:T24)</f>
        <v>1.8490496933554905</v>
      </c>
    </row>
    <row r="25" spans="5:21" x14ac:dyDescent="0.65">
      <c r="E25" s="381" t="s">
        <v>43</v>
      </c>
      <c r="F25" s="632"/>
      <c r="G25" s="632"/>
      <c r="H25" s="632"/>
      <c r="I25" s="632"/>
      <c r="J25" s="632"/>
      <c r="O25" s="628" t="s">
        <v>771</v>
      </c>
      <c r="P25" s="628"/>
      <c r="Q25" s="628"/>
      <c r="R25" s="628"/>
      <c r="S25" s="628"/>
      <c r="T25" s="628"/>
      <c r="U25" s="616"/>
    </row>
    <row r="26" spans="5:21" x14ac:dyDescent="0.65">
      <c r="E26" s="381" t="s">
        <v>42</v>
      </c>
      <c r="F26" s="632"/>
      <c r="G26" s="632"/>
      <c r="H26" s="632"/>
      <c r="I26" s="632"/>
      <c r="J26" s="632"/>
      <c r="O26" s="616" t="s">
        <v>3</v>
      </c>
      <c r="P26" s="630">
        <v>130867017</v>
      </c>
      <c r="Q26" s="630">
        <v>179720032</v>
      </c>
      <c r="R26" s="630">
        <v>367994198</v>
      </c>
      <c r="S26" s="630">
        <v>561728170</v>
      </c>
      <c r="T26" s="630">
        <v>723024323</v>
      </c>
      <c r="U26" s="616"/>
    </row>
    <row r="27" spans="5:21" x14ac:dyDescent="0.65">
      <c r="E27" s="632"/>
      <c r="F27" s="632"/>
      <c r="G27" s="632"/>
      <c r="H27" s="632"/>
      <c r="I27" s="632"/>
      <c r="J27" s="632"/>
      <c r="O27" s="619" t="s">
        <v>911</v>
      </c>
      <c r="P27" s="620"/>
      <c r="Q27" s="622">
        <f>Q26/P26-1</f>
        <v>0.37330273219263499</v>
      </c>
      <c r="R27" s="622">
        <f>R26/Q26-1</f>
        <v>1.0475969979796131</v>
      </c>
      <c r="S27" s="622">
        <f>S26/R26-1</f>
        <v>0.52645931118729217</v>
      </c>
      <c r="T27" s="622">
        <f>T26/S26-1</f>
        <v>0.28714271709036776</v>
      </c>
      <c r="U27" s="623">
        <f>AVERAGE(Q27:T27)</f>
        <v>0.55862543961247701</v>
      </c>
    </row>
    <row r="28" spans="5:21" x14ac:dyDescent="0.65">
      <c r="E28" s="382" t="s">
        <v>41</v>
      </c>
      <c r="F28" s="382"/>
      <c r="G28" s="382"/>
      <c r="H28" s="382"/>
      <c r="I28" s="382"/>
      <c r="J28" s="382"/>
      <c r="O28" s="629" t="s">
        <v>57</v>
      </c>
      <c r="P28" s="630">
        <v>10385702</v>
      </c>
      <c r="Q28" s="630">
        <v>14373410</v>
      </c>
      <c r="R28" s="630">
        <v>37227681</v>
      </c>
      <c r="S28" s="630">
        <v>27347292</v>
      </c>
      <c r="T28" s="630">
        <v>104755463</v>
      </c>
      <c r="U28" s="616"/>
    </row>
    <row r="29" spans="5:21" x14ac:dyDescent="0.65">
      <c r="E29" s="383" t="s">
        <v>921</v>
      </c>
      <c r="F29" s="382"/>
      <c r="G29" s="382"/>
      <c r="H29" s="382"/>
      <c r="I29" s="382"/>
      <c r="J29" s="382"/>
      <c r="O29" s="625" t="s">
        <v>912</v>
      </c>
      <c r="P29" s="626"/>
      <c r="Q29" s="622">
        <f>Q28/P28-1</f>
        <v>0.38396133453472858</v>
      </c>
      <c r="R29" s="622">
        <f>R28/Q28-1</f>
        <v>1.5900382024863968</v>
      </c>
      <c r="S29" s="622">
        <f>S28/R28-1</f>
        <v>-0.26540436402686485</v>
      </c>
      <c r="T29" s="622">
        <f>T28/S28-1</f>
        <v>2.8305607370557935</v>
      </c>
      <c r="U29" s="623">
        <f>AVERAGE(Q29:T29)</f>
        <v>1.1347889775125135</v>
      </c>
    </row>
    <row r="30" spans="5:21" x14ac:dyDescent="0.65">
      <c r="E30" s="632"/>
      <c r="F30" s="632"/>
      <c r="G30" s="632"/>
      <c r="H30" s="632"/>
      <c r="I30" s="632"/>
      <c r="J30" s="632"/>
      <c r="O30" s="629" t="s">
        <v>64</v>
      </c>
      <c r="P30" s="630">
        <v>9278011</v>
      </c>
      <c r="Q30" s="630">
        <v>13333973</v>
      </c>
      <c r="R30" s="630">
        <v>35371429</v>
      </c>
      <c r="S30" s="630">
        <v>32755266</v>
      </c>
      <c r="T30" s="630">
        <v>110793729</v>
      </c>
      <c r="U30" s="616"/>
    </row>
    <row r="31" spans="5:21" ht="40.299999999999997" thickBot="1" x14ac:dyDescent="0.7">
      <c r="E31" s="384" t="s">
        <v>922</v>
      </c>
      <c r="F31" s="633" t="s">
        <v>923</v>
      </c>
      <c r="G31" s="633" t="s">
        <v>924</v>
      </c>
      <c r="H31" s="633" t="s">
        <v>925</v>
      </c>
      <c r="I31" s="633" t="s">
        <v>926</v>
      </c>
      <c r="J31" s="633" t="s">
        <v>927</v>
      </c>
      <c r="O31" s="616" t="s">
        <v>915</v>
      </c>
      <c r="P31" s="616"/>
      <c r="Q31" s="622">
        <f>Q30/P30-1</f>
        <v>0.43715856771456729</v>
      </c>
      <c r="R31" s="622">
        <f>R30/Q30-1</f>
        <v>1.6527299102825541</v>
      </c>
      <c r="S31" s="622">
        <f>S30/R30-1</f>
        <v>-7.3962604111923236E-2</v>
      </c>
      <c r="T31" s="622">
        <f>T30/S30-1</f>
        <v>2.3824707453146616</v>
      </c>
      <c r="U31" s="623">
        <f>AVERAGE(Q31:T31)</f>
        <v>1.0995991547999648</v>
      </c>
    </row>
    <row r="32" spans="5:21" x14ac:dyDescent="0.65">
      <c r="E32" s="390" t="s">
        <v>928</v>
      </c>
      <c r="F32" s="391">
        <v>8.9724620500000005E-2</v>
      </c>
      <c r="G32" s="391">
        <v>9.80819582E-2</v>
      </c>
      <c r="H32" s="391">
        <v>9.3039321800000005E-2</v>
      </c>
      <c r="I32" s="391">
        <v>0.128286821</v>
      </c>
      <c r="J32" s="391">
        <v>0.1283618896</v>
      </c>
      <c r="O32" s="628" t="s">
        <v>759</v>
      </c>
      <c r="P32" s="628"/>
      <c r="Q32" s="628"/>
      <c r="R32" s="628"/>
      <c r="S32" s="628"/>
      <c r="T32" s="628"/>
      <c r="U32" s="616"/>
    </row>
    <row r="33" spans="5:21" x14ac:dyDescent="0.65">
      <c r="E33" s="388" t="s">
        <v>929</v>
      </c>
      <c r="F33" s="389">
        <v>5.1304358299999998E-2</v>
      </c>
      <c r="G33" s="389">
        <v>3.0105237699999999E-2</v>
      </c>
      <c r="H33" s="389">
        <v>4.89595315E-2</v>
      </c>
      <c r="I33" s="389">
        <v>0.17211230129999999</v>
      </c>
      <c r="J33" s="389">
        <v>0.1216212735</v>
      </c>
      <c r="O33" s="616" t="s">
        <v>3</v>
      </c>
      <c r="P33" s="634">
        <v>29013288</v>
      </c>
      <c r="Q33" s="634">
        <v>39385591</v>
      </c>
      <c r="R33" s="634">
        <v>68775268</v>
      </c>
      <c r="S33" s="634">
        <v>113386766</v>
      </c>
      <c r="T33" s="634">
        <v>139276849</v>
      </c>
      <c r="U33" s="616"/>
    </row>
    <row r="34" spans="5:21" x14ac:dyDescent="0.65">
      <c r="E34" s="390" t="s">
        <v>930</v>
      </c>
      <c r="F34" s="391">
        <v>6.7134342799999996E-2</v>
      </c>
      <c r="G34" s="391">
        <v>9.1266776600000002E-2</v>
      </c>
      <c r="H34" s="391">
        <v>4.0079271100000001E-2</v>
      </c>
      <c r="I34" s="391">
        <v>0.1710153368</v>
      </c>
      <c r="J34" s="391">
        <v>0.12852700959999999</v>
      </c>
      <c r="O34" s="619" t="s">
        <v>911</v>
      </c>
      <c r="P34" s="620"/>
      <c r="Q34" s="622">
        <f>Q33/P33-1</f>
        <v>0.35750181089437372</v>
      </c>
      <c r="R34" s="622">
        <f>R33/Q33-1</f>
        <v>0.74620378300277368</v>
      </c>
      <c r="S34" s="622">
        <f>S33/R33-1</f>
        <v>0.64865611283404956</v>
      </c>
      <c r="T34" s="622">
        <f>T33/S33-1</f>
        <v>0.22833425728007795</v>
      </c>
      <c r="U34" s="623">
        <f>AVERAGE(Q34:T34)</f>
        <v>0.49517399100281873</v>
      </c>
    </row>
    <row r="35" spans="5:21" x14ac:dyDescent="0.65">
      <c r="E35" s="388" t="s">
        <v>931</v>
      </c>
      <c r="F35" s="389">
        <v>-2.9869830000000001E-4</v>
      </c>
      <c r="G35" s="389">
        <v>5.0620147400000003E-2</v>
      </c>
      <c r="H35" s="389">
        <v>-0.10677811769999999</v>
      </c>
      <c r="I35" s="389">
        <v>0.17574437000000001</v>
      </c>
      <c r="J35" s="389">
        <v>0.1332629213</v>
      </c>
      <c r="O35" s="629" t="s">
        <v>57</v>
      </c>
      <c r="P35" s="635">
        <v>1207089</v>
      </c>
      <c r="Q35" s="635">
        <v>2249434</v>
      </c>
      <c r="R35" s="635">
        <v>3778270</v>
      </c>
      <c r="S35" s="635">
        <v>3326997</v>
      </c>
      <c r="T35" s="635">
        <v>24304792</v>
      </c>
      <c r="U35" s="616"/>
    </row>
    <row r="36" spans="5:21" x14ac:dyDescent="0.65">
      <c r="E36" s="390" t="s">
        <v>932</v>
      </c>
      <c r="F36" s="391">
        <v>6.8882103E-2</v>
      </c>
      <c r="G36" s="391">
        <v>9.5695908499999996E-2</v>
      </c>
      <c r="H36" s="391">
        <v>4.5192142800000001E-2</v>
      </c>
      <c r="I36" s="391">
        <v>0.17604714690000001</v>
      </c>
      <c r="J36" s="391">
        <v>0.1355631202</v>
      </c>
      <c r="O36" s="625" t="s">
        <v>912</v>
      </c>
      <c r="P36" s="626"/>
      <c r="Q36" s="622">
        <f>Q35/P35-1</f>
        <v>0.86351959134744827</v>
      </c>
      <c r="R36" s="622">
        <f>R35/Q35-1</f>
        <v>0.67965363731498685</v>
      </c>
      <c r="S36" s="622">
        <f>S35/R35-1</f>
        <v>-0.11943905544071753</v>
      </c>
      <c r="T36" s="622">
        <f>T35/S35-1</f>
        <v>6.3053242909446565</v>
      </c>
      <c r="U36" s="623">
        <f>AVERAGE(Q36:T36)</f>
        <v>1.9322646160415935</v>
      </c>
    </row>
    <row r="37" spans="5:21" x14ac:dyDescent="0.65">
      <c r="E37" s="388" t="s">
        <v>933</v>
      </c>
      <c r="F37" s="389">
        <v>5.5393127E-2</v>
      </c>
      <c r="G37" s="389">
        <v>7.74178648E-2</v>
      </c>
      <c r="H37" s="389">
        <v>3.6629655900000002E-2</v>
      </c>
      <c r="I37" s="389">
        <v>0.14980366610000001</v>
      </c>
      <c r="J37" s="389">
        <v>0.11400009899999999</v>
      </c>
      <c r="O37" s="629" t="s">
        <v>64</v>
      </c>
      <c r="P37" s="635">
        <v>1106773</v>
      </c>
      <c r="Q37" s="635">
        <v>1405730</v>
      </c>
      <c r="R37" s="635">
        <v>3030461</v>
      </c>
      <c r="S37" s="635">
        <v>2790705</v>
      </c>
      <c r="T37" s="635">
        <v>20547554</v>
      </c>
      <c r="U37" s="616"/>
    </row>
    <row r="38" spans="5:21" x14ac:dyDescent="0.65">
      <c r="E38" s="390" t="s">
        <v>934</v>
      </c>
      <c r="F38" s="391">
        <v>-4.9344389999999997E-4</v>
      </c>
      <c r="G38" s="391">
        <v>4.9120151500000001E-2</v>
      </c>
      <c r="H38" s="391">
        <v>-7.6132550699999996E-2</v>
      </c>
      <c r="I38" s="391">
        <v>0.1608862378</v>
      </c>
      <c r="J38" s="391">
        <v>0.1168900782</v>
      </c>
      <c r="O38" s="616" t="s">
        <v>915</v>
      </c>
      <c r="P38" s="616"/>
      <c r="Q38" s="622">
        <f>Q37/P37-1</f>
        <v>0.27011591356131737</v>
      </c>
      <c r="R38" s="622">
        <f>R37/Q37-1</f>
        <v>1.1557916527355894</v>
      </c>
      <c r="S38" s="622">
        <f>S37/R37-1</f>
        <v>-7.9115355716506519E-2</v>
      </c>
      <c r="T38" s="622">
        <f>T37/S37-1</f>
        <v>6.3628541891744197</v>
      </c>
      <c r="U38" s="623">
        <f>AVERAGE(Q38:T38)</f>
        <v>1.9274115999387049</v>
      </c>
    </row>
    <row r="39" spans="5:21" x14ac:dyDescent="0.65">
      <c r="E39" s="388" t="s">
        <v>935</v>
      </c>
      <c r="F39" s="389">
        <v>0.17524729689999999</v>
      </c>
      <c r="G39" s="389">
        <v>0.42923994609999999</v>
      </c>
      <c r="H39" s="389">
        <v>0.18172320489999999</v>
      </c>
      <c r="I39" s="389">
        <v>0.76275319180000001</v>
      </c>
      <c r="J39" s="389">
        <v>0.52702877169999995</v>
      </c>
    </row>
    <row r="40" spans="5:21" x14ac:dyDescent="0.65">
      <c r="E40" s="390" t="s">
        <v>936</v>
      </c>
      <c r="F40" s="391">
        <v>0.38718712789999998</v>
      </c>
      <c r="G40" s="391">
        <v>0.84649150979999999</v>
      </c>
      <c r="H40" s="391">
        <v>0.3986776212</v>
      </c>
      <c r="I40" s="391">
        <v>1.3769847830999999</v>
      </c>
      <c r="J40" s="391">
        <v>0.84062193409999997</v>
      </c>
    </row>
    <row r="41" spans="5:21" x14ac:dyDescent="0.65">
      <c r="E41" s="388" t="s">
        <v>937</v>
      </c>
      <c r="F41" s="389">
        <v>0.21239299440000001</v>
      </c>
      <c r="G41" s="389">
        <v>0.50602462820000005</v>
      </c>
      <c r="H41" s="389">
        <v>0.19883707389999999</v>
      </c>
      <c r="I41" s="389">
        <v>0.8707563532</v>
      </c>
      <c r="J41" s="389">
        <v>0.59418748399999999</v>
      </c>
    </row>
    <row r="42" spans="5:21" x14ac:dyDescent="0.65">
      <c r="E42" s="632"/>
      <c r="F42" s="632"/>
      <c r="G42" s="632"/>
      <c r="H42" s="632"/>
      <c r="I42" s="632"/>
      <c r="J42" s="632"/>
    </row>
    <row r="43" spans="5:21" x14ac:dyDescent="0.65">
      <c r="E43" s="632"/>
      <c r="F43" s="632"/>
      <c r="G43" s="632"/>
      <c r="H43" s="632"/>
      <c r="I43" s="632"/>
      <c r="J43" s="632"/>
    </row>
    <row r="44" spans="5:21" ht="40.299999999999997" thickBot="1" x14ac:dyDescent="0.7">
      <c r="E44" s="384" t="s">
        <v>938</v>
      </c>
      <c r="F44" s="633" t="s">
        <v>923</v>
      </c>
      <c r="G44" s="633" t="s">
        <v>924</v>
      </c>
      <c r="H44" s="633" t="s">
        <v>925</v>
      </c>
      <c r="I44" s="633" t="s">
        <v>926</v>
      </c>
      <c r="J44" s="633" t="s">
        <v>927</v>
      </c>
    </row>
    <row r="45" spans="5:21" x14ac:dyDescent="0.65">
      <c r="E45" s="390" t="s">
        <v>939</v>
      </c>
      <c r="F45" s="391">
        <v>3.1637011024000001</v>
      </c>
      <c r="G45" s="391">
        <v>5.5444560118000004</v>
      </c>
      <c r="H45" s="391">
        <v>4.9610950566999996</v>
      </c>
      <c r="I45" s="391">
        <v>5.0916857480999997</v>
      </c>
      <c r="J45" s="391">
        <v>4.6230553874</v>
      </c>
    </row>
    <row r="46" spans="5:21" x14ac:dyDescent="0.65">
      <c r="E46" s="388" t="s">
        <v>940</v>
      </c>
      <c r="F46" s="389">
        <v>9.3139741385000008</v>
      </c>
      <c r="G46" s="389">
        <v>16.341175589100001</v>
      </c>
      <c r="H46" s="389">
        <v>20.749049614</v>
      </c>
      <c r="I46" s="389">
        <v>21.838308600600001</v>
      </c>
      <c r="J46" s="389">
        <v>16.227453312400002</v>
      </c>
    </row>
    <row r="47" spans="5:21" x14ac:dyDescent="0.65">
      <c r="E47" s="390" t="s">
        <v>941</v>
      </c>
      <c r="F47" s="391">
        <v>11.460113874099999</v>
      </c>
      <c r="G47" s="391">
        <v>12.293990624499999</v>
      </c>
      <c r="H47" s="391">
        <v>7.2566664170999999</v>
      </c>
      <c r="I47" s="391">
        <v>9.4657918149999993</v>
      </c>
      <c r="J47" s="391">
        <v>10.018704638499999</v>
      </c>
    </row>
    <row r="48" spans="5:21" x14ac:dyDescent="0.65">
      <c r="E48" s="388" t="s">
        <v>942</v>
      </c>
      <c r="F48" s="389">
        <v>31.849596261399999</v>
      </c>
      <c r="G48" s="389">
        <v>29.689301964599998</v>
      </c>
      <c r="H48" s="389">
        <v>50.298577752200003</v>
      </c>
      <c r="I48" s="389">
        <v>38.559901499299997</v>
      </c>
      <c r="J48" s="389">
        <v>36.431855531099998</v>
      </c>
    </row>
    <row r="49" spans="5:10" x14ac:dyDescent="0.65">
      <c r="E49" s="390" t="s">
        <v>943</v>
      </c>
      <c r="F49" s="391">
        <v>8.7774059571999992</v>
      </c>
      <c r="G49" s="391">
        <v>41.467016674699998</v>
      </c>
      <c r="H49" s="391">
        <v>133.81001332950001</v>
      </c>
      <c r="I49" s="391">
        <v>39.696913446899998</v>
      </c>
      <c r="J49" s="391">
        <v>39.375049762300002</v>
      </c>
    </row>
    <row r="50" spans="5:10" x14ac:dyDescent="0.65">
      <c r="E50" s="388" t="s">
        <v>944</v>
      </c>
      <c r="F50" s="389">
        <v>41.584039952200001</v>
      </c>
      <c r="G50" s="389">
        <v>9.3264811658000006</v>
      </c>
      <c r="H50" s="389">
        <v>2.7277480281000002</v>
      </c>
      <c r="I50" s="389">
        <v>9.1946695172999995</v>
      </c>
      <c r="J50" s="389">
        <v>9.2698295545999994</v>
      </c>
    </row>
    <row r="51" spans="5:10" x14ac:dyDescent="0.65">
      <c r="E51" s="632"/>
      <c r="F51" s="632"/>
      <c r="G51" s="632"/>
      <c r="H51" s="632"/>
      <c r="I51" s="632"/>
      <c r="J51" s="632"/>
    </row>
    <row r="52" spans="5:10" x14ac:dyDescent="0.65">
      <c r="E52" s="632"/>
      <c r="F52" s="632"/>
      <c r="G52" s="632"/>
      <c r="H52" s="632"/>
      <c r="I52" s="632"/>
      <c r="J52" s="632"/>
    </row>
    <row r="53" spans="5:10" ht="40.299999999999997" thickBot="1" x14ac:dyDescent="0.7">
      <c r="E53" s="384" t="s">
        <v>945</v>
      </c>
      <c r="F53" s="633" t="s">
        <v>923</v>
      </c>
      <c r="G53" s="633" t="s">
        <v>924</v>
      </c>
      <c r="H53" s="633" t="s">
        <v>925</v>
      </c>
      <c r="I53" s="633" t="s">
        <v>926</v>
      </c>
      <c r="J53" s="633" t="s">
        <v>927</v>
      </c>
    </row>
    <row r="54" spans="5:10" x14ac:dyDescent="0.65">
      <c r="E54" s="390" t="s">
        <v>946</v>
      </c>
      <c r="F54" s="391">
        <v>0.52344446160000002</v>
      </c>
      <c r="G54" s="391">
        <v>0.44059770999999998</v>
      </c>
      <c r="H54" s="391">
        <v>0.52969361979999996</v>
      </c>
      <c r="I54" s="391">
        <v>0.36864901820000001</v>
      </c>
      <c r="J54" s="391">
        <v>0.35923434650000002</v>
      </c>
    </row>
    <row r="55" spans="5:10" x14ac:dyDescent="0.65">
      <c r="E55" s="388" t="s">
        <v>947</v>
      </c>
      <c r="F55" s="389">
        <v>1.0983913089999999</v>
      </c>
      <c r="G55" s="389">
        <v>0.78762228519999999</v>
      </c>
      <c r="H55" s="389">
        <v>1.1262735147</v>
      </c>
      <c r="I55" s="389">
        <v>0.58390503670000005</v>
      </c>
      <c r="J55" s="389">
        <v>0.56063296230000004</v>
      </c>
    </row>
    <row r="56" spans="5:10" x14ac:dyDescent="0.65">
      <c r="E56" s="390" t="s">
        <v>948</v>
      </c>
      <c r="F56" s="391">
        <v>7.6571021000000003E-3</v>
      </c>
      <c r="G56" s="391">
        <v>0</v>
      </c>
      <c r="H56" s="391">
        <v>4.9577668999999996E-3</v>
      </c>
      <c r="I56" s="391">
        <v>1.49664277E-2</v>
      </c>
      <c r="J56" s="391">
        <v>2.3023935200000002E-2</v>
      </c>
    </row>
    <row r="57" spans="5:10" x14ac:dyDescent="0.65">
      <c r="E57" s="388" t="s">
        <v>949</v>
      </c>
      <c r="F57" s="389">
        <v>1.60675965E-2</v>
      </c>
      <c r="G57" s="389">
        <v>0</v>
      </c>
      <c r="H57" s="389">
        <v>1.05415684E-2</v>
      </c>
      <c r="I57" s="389">
        <v>2.3705400299999999E-2</v>
      </c>
      <c r="J57" s="389">
        <v>3.59319123E-2</v>
      </c>
    </row>
    <row r="58" spans="5:10" x14ac:dyDescent="0.65">
      <c r="E58" s="390" t="s">
        <v>950</v>
      </c>
      <c r="F58" s="391">
        <v>0</v>
      </c>
      <c r="G58" s="391">
        <v>0</v>
      </c>
      <c r="H58" s="391">
        <v>0</v>
      </c>
      <c r="I58" s="391">
        <v>0</v>
      </c>
      <c r="J58" s="391">
        <v>0</v>
      </c>
    </row>
    <row r="59" spans="5:10" x14ac:dyDescent="0.65">
      <c r="E59" s="388" t="s">
        <v>951</v>
      </c>
      <c r="F59" s="389">
        <v>0.1045429663</v>
      </c>
      <c r="G59" s="389">
        <v>0.22027253250000001</v>
      </c>
      <c r="H59" s="389">
        <v>0.12703633819999999</v>
      </c>
      <c r="I59" s="389">
        <v>0.4782666089</v>
      </c>
      <c r="J59" s="389">
        <v>0.33462268429999997</v>
      </c>
    </row>
    <row r="60" spans="5:10" x14ac:dyDescent="0.65">
      <c r="E60" s="390" t="s">
        <v>952</v>
      </c>
      <c r="F60" s="391">
        <v>95.133469741599995</v>
      </c>
      <c r="G60" s="391">
        <v>207.09287119690001</v>
      </c>
      <c r="H60" s="391">
        <v>147.26261683199999</v>
      </c>
      <c r="I60" s="391">
        <v>34.365980929999999</v>
      </c>
      <c r="J60" s="391">
        <v>39.1294156624</v>
      </c>
    </row>
    <row r="61" spans="5:10" x14ac:dyDescent="0.65">
      <c r="E61" s="632"/>
      <c r="F61" s="632"/>
      <c r="G61" s="632"/>
      <c r="H61" s="632"/>
      <c r="I61" s="632"/>
      <c r="J61" s="632"/>
    </row>
    <row r="62" spans="5:10" x14ac:dyDescent="0.65">
      <c r="E62" s="632"/>
      <c r="F62" s="632"/>
      <c r="G62" s="632"/>
      <c r="H62" s="632"/>
      <c r="I62" s="632"/>
      <c r="J62" s="632"/>
    </row>
    <row r="63" spans="5:10" ht="40.299999999999997" thickBot="1" x14ac:dyDescent="0.7">
      <c r="E63" s="384" t="s">
        <v>953</v>
      </c>
      <c r="F63" s="633" t="s">
        <v>923</v>
      </c>
      <c r="G63" s="633" t="s">
        <v>924</v>
      </c>
      <c r="H63" s="633" t="s">
        <v>925</v>
      </c>
      <c r="I63" s="633" t="s">
        <v>926</v>
      </c>
      <c r="J63" s="633" t="s">
        <v>927</v>
      </c>
    </row>
    <row r="64" spans="5:10" x14ac:dyDescent="0.65">
      <c r="E64" s="390" t="s">
        <v>954</v>
      </c>
      <c r="F64" s="391">
        <v>1.1652722954000001</v>
      </c>
      <c r="G64" s="391">
        <v>1.5577776435999999</v>
      </c>
      <c r="H64" s="391">
        <v>1.3449158845</v>
      </c>
      <c r="I64" s="391">
        <v>2.2923244854</v>
      </c>
      <c r="J64" s="391">
        <v>1.9437361608999999</v>
      </c>
    </row>
    <row r="65" spans="5:10" x14ac:dyDescent="0.65">
      <c r="E65" s="388" t="s">
        <v>955</v>
      </c>
      <c r="F65" s="389">
        <v>0.5600973924</v>
      </c>
      <c r="G65" s="389">
        <v>0.27437573840000001</v>
      </c>
      <c r="H65" s="389">
        <v>0.44662208640000001</v>
      </c>
      <c r="I65" s="389">
        <v>1.0699476805000001</v>
      </c>
      <c r="J65" s="389">
        <v>0.75610900479999998</v>
      </c>
    </row>
    <row r="66" spans="5:10" x14ac:dyDescent="0.65">
      <c r="E66" s="390" t="s">
        <v>956</v>
      </c>
      <c r="F66" s="391">
        <v>9.9973554500000006E-2</v>
      </c>
      <c r="G66" s="391">
        <v>0.19278949419999999</v>
      </c>
      <c r="H66" s="391">
        <v>0.22258101299999999</v>
      </c>
      <c r="I66" s="391">
        <v>0.49353801990000001</v>
      </c>
      <c r="J66" s="391">
        <v>0.51569496770000001</v>
      </c>
    </row>
    <row r="67" spans="5:10" x14ac:dyDescent="0.65">
      <c r="E67" s="632"/>
      <c r="F67" s="632"/>
      <c r="G67" s="632"/>
      <c r="H67" s="632"/>
      <c r="I67" s="632"/>
      <c r="J67" s="632"/>
    </row>
    <row r="68" spans="5:10" x14ac:dyDescent="0.65">
      <c r="E68" s="632"/>
      <c r="F68" s="632"/>
      <c r="G68" s="632"/>
      <c r="H68" s="632"/>
      <c r="I68" s="632"/>
      <c r="J68" s="632"/>
    </row>
    <row r="69" spans="5:10" ht="40.299999999999997" thickBot="1" x14ac:dyDescent="0.7">
      <c r="E69" s="384" t="s">
        <v>957</v>
      </c>
      <c r="F69" s="633" t="s">
        <v>923</v>
      </c>
      <c r="G69" s="633" t="s">
        <v>924</v>
      </c>
      <c r="H69" s="633" t="s">
        <v>925</v>
      </c>
      <c r="I69" s="633" t="s">
        <v>926</v>
      </c>
      <c r="J69" s="633" t="s">
        <v>927</v>
      </c>
    </row>
    <row r="70" spans="5:10" x14ac:dyDescent="0.65">
      <c r="E70" s="390" t="s">
        <v>958</v>
      </c>
      <c r="F70" s="391">
        <v>1.4399527699999999E-2</v>
      </c>
      <c r="G70" s="391">
        <v>5.4218977100000003E-2</v>
      </c>
      <c r="H70" s="391">
        <v>3.3841635100000003E-2</v>
      </c>
      <c r="I70" s="391">
        <v>4.98468725E-2</v>
      </c>
      <c r="J70" s="391">
        <v>5.5011802700000001E-2</v>
      </c>
    </row>
    <row r="71" spans="5:10" x14ac:dyDescent="0.65">
      <c r="E71" s="388" t="s">
        <v>959</v>
      </c>
      <c r="F71" s="389">
        <v>0.25995152230000002</v>
      </c>
      <c r="G71" s="389">
        <v>0.70034193339999995</v>
      </c>
      <c r="H71" s="389">
        <v>0.92388623989999996</v>
      </c>
      <c r="I71" s="389">
        <v>0.3327480149</v>
      </c>
      <c r="J71" s="389">
        <v>0.48255925399999999</v>
      </c>
    </row>
    <row r="72" spans="5:10" x14ac:dyDescent="0.65">
      <c r="E72" s="390" t="s">
        <v>960</v>
      </c>
      <c r="F72" s="391">
        <v>6.2764878999999997E-3</v>
      </c>
      <c r="G72" s="391">
        <v>5.2759246599999997E-2</v>
      </c>
      <c r="H72" s="391">
        <v>3.4504447700000003E-2</v>
      </c>
      <c r="I72" s="391">
        <v>4.9732119200000001E-2</v>
      </c>
      <c r="J72" s="391">
        <v>5.7868301499999997E-2</v>
      </c>
    </row>
    <row r="73" spans="5:10" x14ac:dyDescent="0.65">
      <c r="E73" s="388" t="s">
        <v>961</v>
      </c>
      <c r="F73" s="389">
        <v>0.1133080617</v>
      </c>
      <c r="G73" s="389">
        <v>0.68148671750000001</v>
      </c>
      <c r="H73" s="389">
        <v>0.9419812112</v>
      </c>
      <c r="I73" s="389">
        <v>0.33198199010000001</v>
      </c>
      <c r="J73" s="389">
        <v>0.50761623889999996</v>
      </c>
    </row>
    <row r="74" spans="5:10" x14ac:dyDescent="0.65">
      <c r="E74" s="390" t="s">
        <v>962</v>
      </c>
      <c r="F74" s="391">
        <v>1.7252251499999999E-2</v>
      </c>
      <c r="G74" s="391">
        <v>1.7908883899999999E-2</v>
      </c>
      <c r="H74" s="391">
        <v>9.0698800000000006E-3</v>
      </c>
      <c r="I74" s="391">
        <v>1.6634126199999998E-2</v>
      </c>
      <c r="J74" s="391">
        <v>9.5958776000000003E-3</v>
      </c>
    </row>
    <row r="75" spans="5:10" x14ac:dyDescent="0.65">
      <c r="E75" s="388" t="s">
        <v>963</v>
      </c>
      <c r="F75" s="389">
        <v>0.31145112159999999</v>
      </c>
      <c r="G75" s="389">
        <v>0.2313275353</v>
      </c>
      <c r="H75" s="389">
        <v>0.2476102979</v>
      </c>
      <c r="I75" s="389">
        <v>0.11103951350000001</v>
      </c>
      <c r="J75" s="389">
        <v>8.4174292100000006E-2</v>
      </c>
    </row>
    <row r="76" spans="5:10" x14ac:dyDescent="0.65">
      <c r="E76" s="390" t="s">
        <v>964</v>
      </c>
      <c r="F76" s="391">
        <v>4.4875361699999998E-2</v>
      </c>
      <c r="G76" s="391">
        <v>6.9768815400000003E-2</v>
      </c>
      <c r="H76" s="391">
        <v>4.07555769E-2</v>
      </c>
      <c r="I76" s="391">
        <v>6.2522251400000006E-2</v>
      </c>
      <c r="J76" s="391">
        <v>5.8330051000000001E-2</v>
      </c>
    </row>
    <row r="77" spans="5:10" x14ac:dyDescent="0.65">
      <c r="E77" s="388" t="s">
        <v>965</v>
      </c>
      <c r="F77" s="389">
        <v>0.25936521820000003</v>
      </c>
      <c r="G77" s="389">
        <v>0.78477457640000003</v>
      </c>
      <c r="H77" s="389">
        <v>0.37155059140000002</v>
      </c>
      <c r="I77" s="389">
        <v>0.71366301710000002</v>
      </c>
      <c r="J77" s="389">
        <v>0.72286231749999996</v>
      </c>
    </row>
    <row r="78" spans="5:10" x14ac:dyDescent="0.65">
      <c r="E78" s="390" t="s">
        <v>966</v>
      </c>
      <c r="F78" s="391">
        <v>-2.1918296800000001E-2</v>
      </c>
      <c r="G78" s="391">
        <v>-4.4705592799999999E-2</v>
      </c>
      <c r="H78" s="391">
        <v>-7.3702574600000001E-2</v>
      </c>
      <c r="I78" s="391">
        <v>-1.2480408700000001E-2</v>
      </c>
      <c r="J78" s="391">
        <v>-2.8190219799999999E-2</v>
      </c>
    </row>
    <row r="79" spans="5:10" x14ac:dyDescent="0.65">
      <c r="E79" s="388" t="s">
        <v>967</v>
      </c>
      <c r="F79" s="389">
        <v>-2.3455492000000001E-2</v>
      </c>
      <c r="G79" s="389">
        <v>-1.7558421099999999E-2</v>
      </c>
      <c r="H79" s="389">
        <v>-1.1383447600000001E-2</v>
      </c>
      <c r="I79" s="389">
        <v>-4.5648331799999997E-2</v>
      </c>
      <c r="J79" s="389">
        <v>-3.04022207E-2</v>
      </c>
    </row>
    <row r="80" spans="5:10" x14ac:dyDescent="0.65">
      <c r="E80" s="396"/>
      <c r="F80" s="396"/>
      <c r="G80" s="396"/>
      <c r="H80" s="396"/>
      <c r="I80" s="396"/>
      <c r="J80" s="396"/>
    </row>
    <row r="81" spans="5:10" x14ac:dyDescent="0.65">
      <c r="E81" s="636"/>
      <c r="F81" s="636"/>
      <c r="G81" s="636"/>
      <c r="H81" s="636"/>
      <c r="I81" s="636"/>
      <c r="J81" s="636"/>
    </row>
    <row r="82" spans="5:10" x14ac:dyDescent="0.65">
      <c r="E82" s="637" t="s">
        <v>43</v>
      </c>
      <c r="F82" s="636"/>
      <c r="G82" s="636"/>
      <c r="H82" s="636"/>
      <c r="I82" s="636"/>
      <c r="J82" s="636"/>
    </row>
    <row r="83" spans="5:10" x14ac:dyDescent="0.65">
      <c r="E83" s="638" t="s">
        <v>42</v>
      </c>
      <c r="F83" s="636"/>
      <c r="G83" s="636"/>
      <c r="H83" s="636"/>
      <c r="I83" s="636"/>
      <c r="J83" s="636"/>
    </row>
    <row r="84" spans="5:10" x14ac:dyDescent="0.65">
      <c r="E84" s="636"/>
      <c r="F84" s="636"/>
      <c r="G84" s="636"/>
      <c r="H84" s="636"/>
      <c r="I84" s="636"/>
      <c r="J84" s="636"/>
    </row>
    <row r="85" spans="5:10" x14ac:dyDescent="0.65">
      <c r="E85" s="639" t="s">
        <v>805</v>
      </c>
      <c r="F85" s="639"/>
      <c r="G85" s="639"/>
      <c r="H85" s="639"/>
      <c r="I85" s="639"/>
      <c r="J85" s="639"/>
    </row>
    <row r="86" spans="5:10" x14ac:dyDescent="0.65">
      <c r="E86" s="640" t="s">
        <v>921</v>
      </c>
      <c r="F86" s="639"/>
      <c r="G86" s="639"/>
      <c r="H86" s="639"/>
      <c r="I86" s="639"/>
      <c r="J86" s="639"/>
    </row>
    <row r="87" spans="5:10" x14ac:dyDescent="0.65">
      <c r="E87" s="636"/>
      <c r="F87" s="636"/>
      <c r="G87" s="636"/>
      <c r="H87" s="636"/>
      <c r="I87" s="636"/>
      <c r="J87" s="636"/>
    </row>
    <row r="88" spans="5:10" ht="40.299999999999997" thickBot="1" x14ac:dyDescent="0.7">
      <c r="E88" s="641" t="s">
        <v>922</v>
      </c>
      <c r="F88" s="642" t="s">
        <v>923</v>
      </c>
      <c r="G88" s="642" t="s">
        <v>924</v>
      </c>
      <c r="H88" s="642" t="s">
        <v>925</v>
      </c>
      <c r="I88" s="642" t="s">
        <v>926</v>
      </c>
      <c r="J88" s="642" t="s">
        <v>927</v>
      </c>
    </row>
    <row r="89" spans="5:10" x14ac:dyDescent="0.65">
      <c r="E89" s="643" t="s">
        <v>928</v>
      </c>
      <c r="F89" s="644">
        <v>0.1023476688</v>
      </c>
      <c r="G89" s="644">
        <v>0.11435714380000001</v>
      </c>
      <c r="H89" s="644">
        <v>6.3177178400000006E-2</v>
      </c>
      <c r="I89" s="644">
        <v>0.115578296</v>
      </c>
      <c r="J89" s="644">
        <v>9.3482469799999995E-2</v>
      </c>
    </row>
    <row r="90" spans="5:10" x14ac:dyDescent="0.65">
      <c r="E90" s="645" t="s">
        <v>929</v>
      </c>
      <c r="F90" s="646">
        <v>9.3783067499999997E-2</v>
      </c>
      <c r="G90" s="646">
        <v>9.7617519299999997E-2</v>
      </c>
      <c r="H90" s="646">
        <v>1.7519245900000001E-2</v>
      </c>
      <c r="I90" s="646">
        <v>0.1456558523</v>
      </c>
      <c r="J90" s="646">
        <v>9.0552755499999998E-2</v>
      </c>
    </row>
    <row r="91" spans="5:10" x14ac:dyDescent="0.65">
      <c r="E91" s="643" t="s">
        <v>930</v>
      </c>
      <c r="F91" s="644">
        <v>8.9272680399999998E-2</v>
      </c>
      <c r="G91" s="644">
        <v>0.12298653449999999</v>
      </c>
      <c r="H91" s="644">
        <v>3.18447959E-2</v>
      </c>
      <c r="I91" s="644">
        <v>0.1429416879</v>
      </c>
      <c r="J91" s="644">
        <v>9.5691470700000003E-2</v>
      </c>
    </row>
    <row r="92" spans="5:10" x14ac:dyDescent="0.65">
      <c r="E92" s="645" t="s">
        <v>931</v>
      </c>
      <c r="F92" s="646">
        <v>6.3744596599999995E-2</v>
      </c>
      <c r="G92" s="646">
        <v>0.15779152809999999</v>
      </c>
      <c r="H92" s="646">
        <v>-7.2113827800000002E-2</v>
      </c>
      <c r="I92" s="646">
        <v>0.1507684004</v>
      </c>
      <c r="J92" s="646">
        <v>0.1055728784</v>
      </c>
    </row>
    <row r="93" spans="5:10" x14ac:dyDescent="0.65">
      <c r="E93" s="643" t="s">
        <v>932</v>
      </c>
      <c r="F93" s="644">
        <v>8.8664284600000004E-2</v>
      </c>
      <c r="G93" s="644">
        <v>0.1233263911</v>
      </c>
      <c r="H93" s="644">
        <v>3.6619456000000002E-2</v>
      </c>
      <c r="I93" s="644">
        <v>0.14942313679999999</v>
      </c>
      <c r="J93" s="644">
        <v>9.6964150999999998E-2</v>
      </c>
    </row>
    <row r="94" spans="5:10" x14ac:dyDescent="0.65">
      <c r="E94" s="645" t="s">
        <v>933</v>
      </c>
      <c r="F94" s="646">
        <v>6.9424099599999997E-2</v>
      </c>
      <c r="G94" s="646">
        <v>0.104605664</v>
      </c>
      <c r="H94" s="646">
        <v>3.2925764199999999E-2</v>
      </c>
      <c r="I94" s="646">
        <v>0.13379258250000001</v>
      </c>
      <c r="J94" s="646">
        <v>8.5778193899999994E-2</v>
      </c>
    </row>
    <row r="95" spans="5:10" x14ac:dyDescent="0.65">
      <c r="E95" s="643" t="s">
        <v>934</v>
      </c>
      <c r="F95" s="644">
        <v>4.50527581E-2</v>
      </c>
      <c r="G95" s="644">
        <v>0.1419106856</v>
      </c>
      <c r="H95" s="644">
        <v>-4.06619805E-2</v>
      </c>
      <c r="I95" s="644">
        <v>0.14761114280000001</v>
      </c>
      <c r="J95" s="644">
        <v>8.8742009100000005E-2</v>
      </c>
    </row>
    <row r="96" spans="5:10" x14ac:dyDescent="0.65">
      <c r="E96" s="645" t="s">
        <v>935</v>
      </c>
      <c r="F96" s="646">
        <v>0.25041262190000002</v>
      </c>
      <c r="G96" s="646">
        <v>0.53996770059999999</v>
      </c>
      <c r="H96" s="646">
        <v>0.16997908780000001</v>
      </c>
      <c r="I96" s="646">
        <v>0.65056517660000002</v>
      </c>
      <c r="J96" s="646">
        <v>0.4018575727</v>
      </c>
    </row>
    <row r="97" spans="5:10" x14ac:dyDescent="0.65">
      <c r="E97" s="643" t="s">
        <v>936</v>
      </c>
      <c r="F97" s="644">
        <v>0.44993936540000001</v>
      </c>
      <c r="G97" s="644">
        <v>0.84215734620000005</v>
      </c>
      <c r="H97" s="644">
        <v>0.28451547370000002</v>
      </c>
      <c r="I97" s="644">
        <v>1.0641063236999999</v>
      </c>
      <c r="J97" s="644">
        <v>0.77993277350000001</v>
      </c>
    </row>
    <row r="98" spans="5:10" x14ac:dyDescent="0.65">
      <c r="E98" s="645" t="s">
        <v>937</v>
      </c>
      <c r="F98" s="646">
        <v>0.32200642280000003</v>
      </c>
      <c r="G98" s="646">
        <v>0.6348485706</v>
      </c>
      <c r="H98" s="646">
        <v>0.16439859470000001</v>
      </c>
      <c r="I98" s="646">
        <v>0.69505261569999999</v>
      </c>
      <c r="J98" s="646">
        <v>0.44829974119999999</v>
      </c>
    </row>
    <row r="99" spans="5:10" x14ac:dyDescent="0.65">
      <c r="E99" s="636"/>
      <c r="F99" s="636"/>
      <c r="G99" s="636"/>
      <c r="H99" s="636"/>
      <c r="I99" s="636"/>
      <c r="J99" s="636"/>
    </row>
    <row r="100" spans="5:10" x14ac:dyDescent="0.65">
      <c r="E100" s="636"/>
      <c r="F100" s="636"/>
      <c r="G100" s="636"/>
      <c r="H100" s="636"/>
      <c r="I100" s="636"/>
      <c r="J100" s="636"/>
    </row>
    <row r="101" spans="5:10" ht="40.299999999999997" thickBot="1" x14ac:dyDescent="0.7">
      <c r="E101" s="641" t="s">
        <v>938</v>
      </c>
      <c r="F101" s="642" t="s">
        <v>923</v>
      </c>
      <c r="G101" s="642" t="s">
        <v>924</v>
      </c>
      <c r="H101" s="642" t="s">
        <v>925</v>
      </c>
      <c r="I101" s="642" t="s">
        <v>926</v>
      </c>
      <c r="J101" s="642" t="s">
        <v>927</v>
      </c>
    </row>
    <row r="102" spans="5:10" x14ac:dyDescent="0.65">
      <c r="E102" s="643" t="s">
        <v>939</v>
      </c>
      <c r="F102" s="644">
        <v>3.6069984830999999</v>
      </c>
      <c r="G102" s="644">
        <v>5.1619355972000003</v>
      </c>
      <c r="H102" s="644">
        <v>5.1624948411</v>
      </c>
      <c r="I102" s="644">
        <v>4.8624906124000002</v>
      </c>
      <c r="J102" s="644">
        <v>4.6848453470999996</v>
      </c>
    </row>
    <row r="103" spans="5:10" x14ac:dyDescent="0.65">
      <c r="E103" s="645" t="s">
        <v>940</v>
      </c>
      <c r="F103" s="646">
        <v>8.3985000658000004</v>
      </c>
      <c r="G103" s="646">
        <v>10.8404628533</v>
      </c>
      <c r="H103" s="646">
        <v>12.9985037537</v>
      </c>
      <c r="I103" s="646">
        <v>12.2731273208</v>
      </c>
      <c r="J103" s="646">
        <v>14.0058560669</v>
      </c>
    </row>
    <row r="104" spans="5:10" x14ac:dyDescent="0.65">
      <c r="E104" s="643" t="s">
        <v>941</v>
      </c>
      <c r="F104" s="644">
        <v>11.370353331600001</v>
      </c>
      <c r="G104" s="644">
        <v>17.2594639428</v>
      </c>
      <c r="H104" s="644">
        <v>13.434020137299999</v>
      </c>
      <c r="I104" s="644">
        <v>16.3965441209</v>
      </c>
      <c r="J104" s="644">
        <v>16.533645706200002</v>
      </c>
    </row>
    <row r="105" spans="5:10" x14ac:dyDescent="0.65">
      <c r="E105" s="645" t="s">
        <v>942</v>
      </c>
      <c r="F105" s="646">
        <v>32.101025302899998</v>
      </c>
      <c r="G105" s="646">
        <v>21.147817870299999</v>
      </c>
      <c r="H105" s="646">
        <v>27.169826773299999</v>
      </c>
      <c r="I105" s="646">
        <v>22.2607884508</v>
      </c>
      <c r="J105" s="646">
        <v>22.076195806200001</v>
      </c>
    </row>
    <row r="106" spans="5:10" x14ac:dyDescent="0.65">
      <c r="E106" s="643" t="s">
        <v>943</v>
      </c>
      <c r="F106" s="644">
        <v>19.7470669814</v>
      </c>
      <c r="G106" s="644">
        <v>26.152435422100002</v>
      </c>
      <c r="H106" s="644">
        <v>47.908629694799998</v>
      </c>
      <c r="I106" s="644">
        <v>36.797212658299998</v>
      </c>
      <c r="J106" s="644">
        <v>33.737336076399998</v>
      </c>
    </row>
    <row r="107" spans="5:10" x14ac:dyDescent="0.65">
      <c r="E107" s="645" t="s">
        <v>944</v>
      </c>
      <c r="F107" s="646">
        <v>18.4837576306</v>
      </c>
      <c r="G107" s="646">
        <v>11.775025577599999</v>
      </c>
      <c r="H107" s="646">
        <v>7.5202592039000002</v>
      </c>
      <c r="I107" s="646">
        <v>9.9192295729000008</v>
      </c>
      <c r="J107" s="646">
        <v>10.8188743525</v>
      </c>
    </row>
    <row r="108" spans="5:10" x14ac:dyDescent="0.65">
      <c r="E108" s="636"/>
      <c r="F108" s="636"/>
      <c r="G108" s="636"/>
      <c r="H108" s="636"/>
      <c r="I108" s="636"/>
      <c r="J108" s="636"/>
    </row>
    <row r="109" spans="5:10" x14ac:dyDescent="0.65">
      <c r="E109" s="636"/>
      <c r="F109" s="636"/>
      <c r="G109" s="636"/>
      <c r="H109" s="636"/>
      <c r="I109" s="636"/>
      <c r="J109" s="636"/>
    </row>
    <row r="110" spans="5:10" ht="40.299999999999997" thickBot="1" x14ac:dyDescent="0.7">
      <c r="E110" s="641" t="s">
        <v>945</v>
      </c>
      <c r="F110" s="642" t="s">
        <v>923</v>
      </c>
      <c r="G110" s="642" t="s">
        <v>924</v>
      </c>
      <c r="H110" s="642" t="s">
        <v>925</v>
      </c>
      <c r="I110" s="642" t="s">
        <v>926</v>
      </c>
      <c r="J110" s="642" t="s">
        <v>927</v>
      </c>
    </row>
    <row r="111" spans="5:10" x14ac:dyDescent="0.65">
      <c r="E111" s="643" t="s">
        <v>946</v>
      </c>
      <c r="F111" s="644">
        <v>0.39254274230000002</v>
      </c>
      <c r="G111" s="644">
        <v>0.23582126319999999</v>
      </c>
      <c r="H111" s="644">
        <v>0.42068259920000001</v>
      </c>
      <c r="I111" s="644">
        <v>0.24006564929999999</v>
      </c>
      <c r="J111" s="644">
        <v>0.47318338830000001</v>
      </c>
    </row>
    <row r="112" spans="5:10" x14ac:dyDescent="0.65">
      <c r="E112" s="645" t="s">
        <v>947</v>
      </c>
      <c r="F112" s="646">
        <v>0.64620635829999995</v>
      </c>
      <c r="G112" s="646">
        <v>0.30859437960000002</v>
      </c>
      <c r="H112" s="646">
        <v>0.7261694514</v>
      </c>
      <c r="I112" s="646">
        <v>0.31590314219999999</v>
      </c>
      <c r="J112" s="646">
        <v>0.89819375059999995</v>
      </c>
    </row>
    <row r="113" spans="5:10" x14ac:dyDescent="0.65">
      <c r="E113" s="643" t="s">
        <v>948</v>
      </c>
      <c r="F113" s="644">
        <v>2.1161309999999998E-3</v>
      </c>
      <c r="G113" s="644">
        <v>0</v>
      </c>
      <c r="H113" s="644">
        <v>0</v>
      </c>
      <c r="I113" s="644">
        <v>1.6770062299999999E-2</v>
      </c>
      <c r="J113" s="644">
        <v>0.1113859921</v>
      </c>
    </row>
    <row r="114" spans="5:10" x14ac:dyDescent="0.65">
      <c r="E114" s="645" t="s">
        <v>949</v>
      </c>
      <c r="F114" s="646">
        <v>3.4835882999999998E-3</v>
      </c>
      <c r="G114" s="646">
        <v>0</v>
      </c>
      <c r="H114" s="646">
        <v>0</v>
      </c>
      <c r="I114" s="646">
        <v>2.2067777600000001E-2</v>
      </c>
      <c r="J114" s="646">
        <v>0.2114321941</v>
      </c>
    </row>
    <row r="115" spans="5:10" x14ac:dyDescent="0.65">
      <c r="E115" s="643" t="s">
        <v>950</v>
      </c>
      <c r="F115" s="644">
        <v>0</v>
      </c>
      <c r="G115" s="644">
        <v>0</v>
      </c>
      <c r="H115" s="644">
        <v>0</v>
      </c>
      <c r="I115" s="644">
        <v>9.7146885000000006E-3</v>
      </c>
      <c r="J115" s="644">
        <v>1.3775704E-2</v>
      </c>
    </row>
    <row r="116" spans="5:10" x14ac:dyDescent="0.65">
      <c r="E116" s="645" t="s">
        <v>951</v>
      </c>
      <c r="F116" s="646">
        <v>0.1512994718</v>
      </c>
      <c r="G116" s="646">
        <v>0.34449664250000001</v>
      </c>
      <c r="H116" s="646">
        <v>0.2270486253</v>
      </c>
      <c r="I116" s="646">
        <v>0.49917940290000001</v>
      </c>
      <c r="J116" s="646">
        <v>0.27994118480000002</v>
      </c>
    </row>
    <row r="117" spans="5:10" x14ac:dyDescent="0.65">
      <c r="E117" s="643" t="s">
        <v>952</v>
      </c>
      <c r="F117" s="644"/>
      <c r="G117" s="644"/>
      <c r="H117" s="644"/>
      <c r="I117" s="644">
        <v>1786.7080897180001</v>
      </c>
      <c r="J117" s="644">
        <v>40.355750975299998</v>
      </c>
    </row>
    <row r="118" spans="5:10" x14ac:dyDescent="0.65">
      <c r="E118" s="636"/>
      <c r="F118" s="636"/>
      <c r="G118" s="636"/>
      <c r="H118" s="636"/>
      <c r="I118" s="636"/>
      <c r="J118" s="636"/>
    </row>
    <row r="119" spans="5:10" x14ac:dyDescent="0.65">
      <c r="E119" s="636"/>
      <c r="F119" s="636"/>
      <c r="G119" s="636"/>
      <c r="H119" s="636"/>
      <c r="I119" s="636"/>
      <c r="J119" s="636"/>
    </row>
    <row r="120" spans="5:10" ht="40.299999999999997" thickBot="1" x14ac:dyDescent="0.7">
      <c r="E120" s="641" t="s">
        <v>953</v>
      </c>
      <c r="F120" s="642" t="s">
        <v>923</v>
      </c>
      <c r="G120" s="642" t="s">
        <v>924</v>
      </c>
      <c r="H120" s="642" t="s">
        <v>925</v>
      </c>
      <c r="I120" s="642" t="s">
        <v>926</v>
      </c>
      <c r="J120" s="642" t="s">
        <v>927</v>
      </c>
    </row>
    <row r="121" spans="5:10" x14ac:dyDescent="0.65">
      <c r="E121" s="643" t="s">
        <v>954</v>
      </c>
      <c r="F121" s="644">
        <v>1.4632665882</v>
      </c>
      <c r="G121" s="644">
        <v>2.4965440518999999</v>
      </c>
      <c r="H121" s="644">
        <v>1.3642671801999999</v>
      </c>
      <c r="I121" s="644">
        <v>2.9796844647</v>
      </c>
      <c r="J121" s="644">
        <v>1.2865395610000001</v>
      </c>
    </row>
    <row r="122" spans="5:10" x14ac:dyDescent="0.65">
      <c r="E122" s="645" t="s">
        <v>955</v>
      </c>
      <c r="F122" s="646">
        <v>0.89023105739999997</v>
      </c>
      <c r="G122" s="646">
        <v>0.69649147209999995</v>
      </c>
      <c r="H122" s="646">
        <v>0.80980608610000004</v>
      </c>
      <c r="I122" s="646">
        <v>1.6751184779999999</v>
      </c>
      <c r="J122" s="646">
        <v>0.74742155089999995</v>
      </c>
    </row>
    <row r="123" spans="5:10" x14ac:dyDescent="0.65">
      <c r="E123" s="643" t="s">
        <v>956</v>
      </c>
      <c r="F123" s="644">
        <v>5.9151361299999997E-2</v>
      </c>
      <c r="G123" s="644">
        <v>0.2098761888</v>
      </c>
      <c r="H123" s="644">
        <v>0.4453468531</v>
      </c>
      <c r="I123" s="644">
        <v>0.86107584530000003</v>
      </c>
      <c r="J123" s="644">
        <v>0.43391682240000001</v>
      </c>
    </row>
    <row r="124" spans="5:10" x14ac:dyDescent="0.65">
      <c r="E124" s="636"/>
      <c r="F124" s="636"/>
      <c r="G124" s="636"/>
      <c r="H124" s="636"/>
      <c r="I124" s="636"/>
      <c r="J124" s="636"/>
    </row>
    <row r="125" spans="5:10" x14ac:dyDescent="0.65">
      <c r="E125" s="636"/>
      <c r="F125" s="636"/>
      <c r="G125" s="636"/>
      <c r="H125" s="636"/>
      <c r="I125" s="636"/>
      <c r="J125" s="636"/>
    </row>
    <row r="126" spans="5:10" ht="40.299999999999997" thickBot="1" x14ac:dyDescent="0.7">
      <c r="E126" s="641" t="s">
        <v>957</v>
      </c>
      <c r="F126" s="642" t="s">
        <v>923</v>
      </c>
      <c r="G126" s="642" t="s">
        <v>924</v>
      </c>
      <c r="H126" s="642" t="s">
        <v>925</v>
      </c>
      <c r="I126" s="642" t="s">
        <v>926</v>
      </c>
      <c r="J126" s="642" t="s">
        <v>927</v>
      </c>
    </row>
    <row r="127" spans="5:10" x14ac:dyDescent="0.65">
      <c r="E127" s="643" t="s">
        <v>958</v>
      </c>
      <c r="F127" s="644">
        <v>1.4753173E-3</v>
      </c>
      <c r="G127" s="644">
        <v>1.6573748900000001E-2</v>
      </c>
      <c r="H127" s="644">
        <v>3.7890980599999999E-2</v>
      </c>
      <c r="I127" s="644">
        <v>4.6170757700000002E-2</v>
      </c>
      <c r="J127" s="644">
        <v>4.87850856E-2</v>
      </c>
    </row>
    <row r="128" spans="5:10" x14ac:dyDescent="0.65">
      <c r="E128" s="645" t="s">
        <v>959</v>
      </c>
      <c r="F128" s="646">
        <v>2.1250795400000001E-2</v>
      </c>
      <c r="G128" s="646">
        <v>0.15844026289999999</v>
      </c>
      <c r="H128" s="646">
        <v>1.1508003381</v>
      </c>
      <c r="I128" s="646">
        <v>0.34509205840000001</v>
      </c>
      <c r="J128" s="646">
        <v>0.56873528569999998</v>
      </c>
    </row>
    <row r="129" spans="5:10" x14ac:dyDescent="0.65">
      <c r="E129" s="643" t="s">
        <v>960</v>
      </c>
      <c r="F129" s="644">
        <v>2.1194831000000002E-3</v>
      </c>
      <c r="G129" s="644">
        <v>1.63401203E-2</v>
      </c>
      <c r="H129" s="644">
        <v>3.7890980599999999E-2</v>
      </c>
      <c r="I129" s="644">
        <v>4.9704194100000001E-2</v>
      </c>
      <c r="J129" s="644">
        <v>7.5067888599999993E-2</v>
      </c>
    </row>
    <row r="130" spans="5:10" x14ac:dyDescent="0.65">
      <c r="E130" s="645" t="s">
        <v>961</v>
      </c>
      <c r="F130" s="646">
        <v>3.05295002E-2</v>
      </c>
      <c r="G130" s="646">
        <v>0.15620684109999999</v>
      </c>
      <c r="H130" s="646">
        <v>1.1508003381</v>
      </c>
      <c r="I130" s="646">
        <v>0.37150186600000001</v>
      </c>
      <c r="J130" s="646">
        <v>0.87513953359999996</v>
      </c>
    </row>
    <row r="131" spans="5:10" x14ac:dyDescent="0.65">
      <c r="E131" s="643" t="s">
        <v>962</v>
      </c>
      <c r="F131" s="644">
        <v>4.7688909000000002E-2</v>
      </c>
      <c r="G131" s="644">
        <v>4.6817143499999998E-2</v>
      </c>
      <c r="H131" s="644">
        <v>2.5614570900000001E-2</v>
      </c>
      <c r="I131" s="644">
        <v>2.8593925100000001E-2</v>
      </c>
      <c r="J131" s="644">
        <v>2.0427238899999998E-2</v>
      </c>
    </row>
    <row r="132" spans="5:10" x14ac:dyDescent="0.65">
      <c r="E132" s="645" t="s">
        <v>963</v>
      </c>
      <c r="F132" s="646">
        <v>0.68692153440000003</v>
      </c>
      <c r="G132" s="646">
        <v>0.4475583991</v>
      </c>
      <c r="H132" s="646">
        <v>0.77794916960000005</v>
      </c>
      <c r="I132" s="646">
        <v>0.2137183134</v>
      </c>
      <c r="J132" s="646">
        <v>0.23814023049999999</v>
      </c>
    </row>
    <row r="133" spans="5:10" x14ac:dyDescent="0.65">
      <c r="E133" s="643" t="s">
        <v>964</v>
      </c>
      <c r="F133" s="644">
        <v>6.2625496500000002E-2</v>
      </c>
      <c r="G133" s="644">
        <v>6.2331124199999997E-2</v>
      </c>
      <c r="H133" s="644">
        <v>6.0476431999999997E-2</v>
      </c>
      <c r="I133" s="644">
        <v>6.8849463400000005E-2</v>
      </c>
      <c r="J133" s="644">
        <v>6.4481256599999995E-2</v>
      </c>
    </row>
    <row r="134" spans="5:10" x14ac:dyDescent="0.65">
      <c r="E134" s="645" t="s">
        <v>965</v>
      </c>
      <c r="F134" s="646">
        <v>0.50938953519999997</v>
      </c>
      <c r="G134" s="646">
        <v>0.89666703550000004</v>
      </c>
      <c r="H134" s="646">
        <v>0.77554715220000003</v>
      </c>
      <c r="I134" s="646">
        <v>0.86144118619999999</v>
      </c>
      <c r="J134" s="646">
        <v>0.62317171019999995</v>
      </c>
    </row>
    <row r="135" spans="5:10" x14ac:dyDescent="0.65">
      <c r="E135" s="643" t="s">
        <v>966</v>
      </c>
      <c r="F135" s="644">
        <v>-1.5361054900000001E-2</v>
      </c>
      <c r="G135" s="644">
        <v>-9.5546794000000001E-3</v>
      </c>
      <c r="H135" s="644">
        <v>-3.3724415600000002E-2</v>
      </c>
      <c r="I135" s="644">
        <v>-1.9817702900000001E-2</v>
      </c>
      <c r="J135" s="644">
        <v>-9.8839684999999997E-3</v>
      </c>
    </row>
    <row r="136" spans="5:10" x14ac:dyDescent="0.65">
      <c r="E136" s="645" t="s">
        <v>967</v>
      </c>
      <c r="F136" s="646">
        <v>-4.9014369799999999E-2</v>
      </c>
      <c r="G136" s="646">
        <v>-4.5977437500000003E-2</v>
      </c>
      <c r="H136" s="646">
        <v>-2.2803606899999999E-2</v>
      </c>
      <c r="I136" s="646">
        <v>-3.49856266E-2</v>
      </c>
      <c r="J136" s="646">
        <v>-2.7535514899999999E-2</v>
      </c>
    </row>
    <row r="137" spans="5:10" x14ac:dyDescent="0.65">
      <c r="E137" s="647"/>
      <c r="F137" s="647"/>
      <c r="G137" s="647"/>
      <c r="H137" s="647"/>
      <c r="I137" s="647"/>
      <c r="J137" s="647"/>
    </row>
    <row r="138" spans="5:10" x14ac:dyDescent="0.65">
      <c r="E138" s="647"/>
      <c r="F138" s="647"/>
      <c r="G138" s="647"/>
      <c r="H138" s="647"/>
      <c r="I138" s="647"/>
      <c r="J138" s="647"/>
    </row>
    <row r="139" spans="5:10" ht="40.299999999999997" thickBot="1" x14ac:dyDescent="0.7">
      <c r="E139" s="641" t="s">
        <v>968</v>
      </c>
      <c r="F139" s="642" t="s">
        <v>923</v>
      </c>
      <c r="G139" s="642" t="s">
        <v>924</v>
      </c>
      <c r="H139" s="642" t="s">
        <v>925</v>
      </c>
      <c r="I139" s="642" t="s">
        <v>926</v>
      </c>
      <c r="J139" s="642" t="s">
        <v>927</v>
      </c>
    </row>
    <row r="140" spans="5:10" x14ac:dyDescent="0.65">
      <c r="E140" s="643" t="s">
        <v>969</v>
      </c>
      <c r="F140" s="644">
        <v>84285.364000000001</v>
      </c>
      <c r="G140" s="644">
        <v>180037.34</v>
      </c>
      <c r="H140" s="644">
        <v>250551.37899999999</v>
      </c>
      <c r="I140" s="644">
        <v>1071486.101</v>
      </c>
      <c r="J140" s="644">
        <v>749395.37751308002</v>
      </c>
    </row>
    <row r="141" spans="5:10" x14ac:dyDescent="0.65">
      <c r="E141" s="645" t="s">
        <v>970</v>
      </c>
      <c r="F141" s="646">
        <v>46386.364999999998</v>
      </c>
      <c r="G141" s="646">
        <v>91160.308999999994</v>
      </c>
      <c r="H141" s="646">
        <v>103684.94</v>
      </c>
      <c r="I141" s="646">
        <v>224981.10399999999</v>
      </c>
      <c r="J141" s="646">
        <v>289021.10800000001</v>
      </c>
    </row>
    <row r="142" spans="5:10" x14ac:dyDescent="0.65">
      <c r="E142" s="643" t="s">
        <v>971</v>
      </c>
      <c r="F142" s="644">
        <v>15709.803</v>
      </c>
      <c r="G142" s="644">
        <v>30254.912</v>
      </c>
      <c r="H142" s="644">
        <v>52392.646000000001</v>
      </c>
      <c r="I142" s="644">
        <v>76391.81</v>
      </c>
      <c r="J142" s="644">
        <v>119054.39200000001</v>
      </c>
    </row>
    <row r="143" spans="5:10" x14ac:dyDescent="0.65">
      <c r="E143" s="645" t="s">
        <v>972</v>
      </c>
      <c r="F143" s="646">
        <v>4058.0210000000002</v>
      </c>
      <c r="G143" s="646">
        <v>8044.7340000000004</v>
      </c>
      <c r="H143" s="646">
        <v>32826.154999999999</v>
      </c>
      <c r="I143" s="646">
        <v>51228.688999999998</v>
      </c>
      <c r="J143" s="646">
        <v>90073.907000000007</v>
      </c>
    </row>
    <row r="144" spans="5:10" x14ac:dyDescent="0.65">
      <c r="E144" s="643" t="s">
        <v>973</v>
      </c>
      <c r="F144" s="644">
        <v>531.67899999999997</v>
      </c>
      <c r="G144" s="644">
        <v>7931.3329999999996</v>
      </c>
      <c r="H144" s="644">
        <v>32826.154999999999</v>
      </c>
      <c r="I144" s="644">
        <v>55149.207559375674</v>
      </c>
      <c r="J144" s="644">
        <v>138600.92549016574</v>
      </c>
    </row>
    <row r="146" spans="5:10" x14ac:dyDescent="0.65">
      <c r="E146" s="636"/>
      <c r="F146" s="636"/>
      <c r="G146" s="636"/>
      <c r="H146" s="636"/>
      <c r="I146" s="636"/>
      <c r="J146" s="636"/>
    </row>
    <row r="147" spans="5:10" x14ac:dyDescent="0.65">
      <c r="E147" s="637" t="s">
        <v>43</v>
      </c>
      <c r="F147" s="636"/>
      <c r="G147" s="636"/>
      <c r="H147" s="636"/>
      <c r="I147" s="636"/>
      <c r="J147" s="636"/>
    </row>
    <row r="148" spans="5:10" x14ac:dyDescent="0.65">
      <c r="E148" s="638" t="s">
        <v>42</v>
      </c>
      <c r="F148" s="636"/>
      <c r="G148" s="636"/>
      <c r="H148" s="636"/>
      <c r="I148" s="636"/>
      <c r="J148" s="636"/>
    </row>
    <row r="149" spans="5:10" x14ac:dyDescent="0.65">
      <c r="E149" s="636"/>
      <c r="F149" s="636"/>
      <c r="G149" s="636"/>
      <c r="H149" s="636"/>
      <c r="I149" s="636"/>
      <c r="J149" s="636"/>
    </row>
    <row r="150" spans="5:10" x14ac:dyDescent="0.65">
      <c r="E150" s="639" t="s">
        <v>818</v>
      </c>
      <c r="F150" s="639"/>
      <c r="G150" s="639"/>
      <c r="H150" s="639"/>
      <c r="I150" s="639"/>
      <c r="J150" s="639"/>
    </row>
    <row r="151" spans="5:10" x14ac:dyDescent="0.65">
      <c r="E151" s="640" t="s">
        <v>921</v>
      </c>
      <c r="F151" s="639"/>
      <c r="G151" s="639"/>
      <c r="H151" s="639"/>
      <c r="I151" s="639"/>
      <c r="J151" s="639"/>
    </row>
    <row r="152" spans="5:10" x14ac:dyDescent="0.65">
      <c r="E152" s="636"/>
      <c r="F152" s="636"/>
      <c r="G152" s="636"/>
      <c r="H152" s="636"/>
      <c r="I152" s="636"/>
      <c r="J152" s="636"/>
    </row>
    <row r="153" spans="5:10" ht="40.299999999999997" thickBot="1" x14ac:dyDescent="0.7">
      <c r="E153" s="641" t="s">
        <v>922</v>
      </c>
      <c r="F153" s="642" t="s">
        <v>923</v>
      </c>
      <c r="G153" s="642" t="s">
        <v>924</v>
      </c>
      <c r="H153" s="642" t="s">
        <v>925</v>
      </c>
      <c r="I153" s="642" t="s">
        <v>926</v>
      </c>
      <c r="J153" s="642" t="s">
        <v>927</v>
      </c>
    </row>
    <row r="154" spans="5:10" x14ac:dyDescent="0.65">
      <c r="E154" s="643" t="s">
        <v>928</v>
      </c>
      <c r="F154" s="644">
        <v>0.106273093</v>
      </c>
      <c r="G154" s="644">
        <v>0.1213294363</v>
      </c>
      <c r="H154" s="644">
        <v>7.8032377799999997E-2</v>
      </c>
      <c r="I154" s="644">
        <v>0.13241205049999999</v>
      </c>
      <c r="J154" s="644">
        <v>0.12039527730000001</v>
      </c>
    </row>
    <row r="155" spans="5:10" x14ac:dyDescent="0.65">
      <c r="E155" s="645" t="s">
        <v>929</v>
      </c>
      <c r="F155" s="646">
        <v>8.3573617200000005E-2</v>
      </c>
      <c r="G155" s="646">
        <v>0.15634424350000001</v>
      </c>
      <c r="H155" s="646">
        <v>1.06594806E-2</v>
      </c>
      <c r="I155" s="646">
        <v>0.17020173550000001</v>
      </c>
      <c r="J155" s="646">
        <v>0.11128446459999999</v>
      </c>
    </row>
    <row r="156" spans="5:10" x14ac:dyDescent="0.65">
      <c r="E156" s="643" t="s">
        <v>930</v>
      </c>
      <c r="F156" s="644">
        <v>9.1928757999999999E-2</v>
      </c>
      <c r="G156" s="644">
        <v>0.1198071153</v>
      </c>
      <c r="H156" s="644">
        <v>4.9519988399999999E-2</v>
      </c>
      <c r="I156" s="644">
        <v>0.16043223600000001</v>
      </c>
      <c r="J156" s="644">
        <v>0.1193437517</v>
      </c>
    </row>
    <row r="157" spans="5:10" x14ac:dyDescent="0.65">
      <c r="E157" s="645" t="s">
        <v>931</v>
      </c>
      <c r="F157" s="646">
        <v>6.7902131399999996E-2</v>
      </c>
      <c r="G157" s="646">
        <v>0.1623970287</v>
      </c>
      <c r="H157" s="646">
        <v>-6.7092663799999994E-2</v>
      </c>
      <c r="I157" s="646">
        <v>0.18246858220000001</v>
      </c>
      <c r="J157" s="646">
        <v>0.10826055969999999</v>
      </c>
    </row>
    <row r="158" spans="5:10" x14ac:dyDescent="0.65">
      <c r="E158" s="643" t="s">
        <v>932</v>
      </c>
      <c r="F158" s="644">
        <v>6.7406604699999997E-2</v>
      </c>
      <c r="G158" s="644">
        <v>0.12376112760000001</v>
      </c>
      <c r="H158" s="644">
        <v>4.86164376E-2</v>
      </c>
      <c r="I158" s="644">
        <v>0.17451534530000001</v>
      </c>
      <c r="J158" s="644">
        <v>0.12873128289999999</v>
      </c>
    </row>
    <row r="159" spans="5:10" x14ac:dyDescent="0.65">
      <c r="E159" s="645" t="s">
        <v>933</v>
      </c>
      <c r="F159" s="646">
        <v>5.24424156E-2</v>
      </c>
      <c r="G159" s="646">
        <v>9.8807414800000007E-2</v>
      </c>
      <c r="H159" s="646">
        <v>3.8927704600000002E-2</v>
      </c>
      <c r="I159" s="646">
        <v>0.1552361152</v>
      </c>
      <c r="J159" s="646">
        <v>0.1149571928</v>
      </c>
    </row>
    <row r="160" spans="5:10" x14ac:dyDescent="0.65">
      <c r="E160" s="643" t="s">
        <v>934</v>
      </c>
      <c r="F160" s="644">
        <v>3.0239598999999999E-2</v>
      </c>
      <c r="G160" s="644">
        <v>0.1334921859</v>
      </c>
      <c r="H160" s="644">
        <v>-5.4926997800000002E-2</v>
      </c>
      <c r="I160" s="644">
        <v>0.21487124099999999</v>
      </c>
      <c r="J160" s="644">
        <v>9.2307073000000003E-2</v>
      </c>
    </row>
    <row r="161" spans="5:10" x14ac:dyDescent="0.65">
      <c r="E161" s="645" t="s">
        <v>935</v>
      </c>
      <c r="F161" s="646">
        <v>0.1368767404</v>
      </c>
      <c r="G161" s="646">
        <v>0.41217844590000002</v>
      </c>
      <c r="H161" s="646">
        <v>0.18380305029999999</v>
      </c>
      <c r="I161" s="646">
        <v>0.84327021140000002</v>
      </c>
      <c r="J161" s="646">
        <v>0.60136126459999995</v>
      </c>
    </row>
    <row r="162" spans="5:10" x14ac:dyDescent="0.65">
      <c r="E162" s="643" t="s">
        <v>936</v>
      </c>
      <c r="F162" s="644">
        <v>0.67167752839999995</v>
      </c>
      <c r="G162" s="644">
        <v>1.3332360678999999</v>
      </c>
      <c r="H162" s="644">
        <v>0.38254706979999997</v>
      </c>
      <c r="I162" s="644">
        <v>1.5184038814</v>
      </c>
      <c r="J162" s="644">
        <v>1.2454525255</v>
      </c>
    </row>
    <row r="163" spans="5:10" x14ac:dyDescent="0.65">
      <c r="E163" s="645" t="s">
        <v>937</v>
      </c>
      <c r="F163" s="646">
        <v>0.23993762690000001</v>
      </c>
      <c r="G163" s="646">
        <v>0.49977940110000002</v>
      </c>
      <c r="H163" s="646">
        <v>0.23381612169999999</v>
      </c>
      <c r="I163" s="646">
        <v>0.87149646459999996</v>
      </c>
      <c r="J163" s="646">
        <v>0.62430812459999996</v>
      </c>
    </row>
    <row r="164" spans="5:10" x14ac:dyDescent="0.65">
      <c r="E164" s="636"/>
      <c r="F164" s="636"/>
      <c r="G164" s="636"/>
      <c r="H164" s="636"/>
      <c r="I164" s="636"/>
      <c r="J164" s="636"/>
    </row>
    <row r="165" spans="5:10" x14ac:dyDescent="0.65">
      <c r="E165" s="636"/>
      <c r="F165" s="636"/>
      <c r="G165" s="636"/>
      <c r="H165" s="636"/>
      <c r="I165" s="636"/>
      <c r="J165" s="636"/>
    </row>
    <row r="166" spans="5:10" ht="40.299999999999997" thickBot="1" x14ac:dyDescent="0.7">
      <c r="E166" s="641" t="s">
        <v>938</v>
      </c>
      <c r="F166" s="642" t="s">
        <v>923</v>
      </c>
      <c r="G166" s="642" t="s">
        <v>924</v>
      </c>
      <c r="H166" s="642" t="s">
        <v>925</v>
      </c>
      <c r="I166" s="642" t="s">
        <v>926</v>
      </c>
      <c r="J166" s="642" t="s">
        <v>927</v>
      </c>
    </row>
    <row r="167" spans="5:10" x14ac:dyDescent="0.65">
      <c r="E167" s="643" t="s">
        <v>939</v>
      </c>
      <c r="F167" s="644">
        <v>2.6100388172</v>
      </c>
      <c r="G167" s="644">
        <v>4.1715335492000003</v>
      </c>
      <c r="H167" s="644">
        <v>4.7216513795999999</v>
      </c>
      <c r="I167" s="644">
        <v>5.4321780101000003</v>
      </c>
      <c r="J167" s="644">
        <v>5.2311756241999996</v>
      </c>
    </row>
    <row r="168" spans="5:10" x14ac:dyDescent="0.65">
      <c r="E168" s="645" t="s">
        <v>940</v>
      </c>
      <c r="F168" s="646">
        <v>10.5601790445</v>
      </c>
      <c r="G168" s="646">
        <v>19.524715665599999</v>
      </c>
      <c r="H168" s="646">
        <v>25.1224116299</v>
      </c>
      <c r="I168" s="646">
        <v>29.107663543699999</v>
      </c>
      <c r="J168" s="646">
        <v>40.054495809400002</v>
      </c>
    </row>
    <row r="169" spans="5:10" x14ac:dyDescent="0.65">
      <c r="E169" s="643" t="s">
        <v>941</v>
      </c>
      <c r="F169" s="644">
        <v>12.842579860600001</v>
      </c>
      <c r="G169" s="644">
        <v>13.125476388299999</v>
      </c>
      <c r="H169" s="644">
        <v>9.5437754786000006</v>
      </c>
      <c r="I169" s="644">
        <v>15.6179009649</v>
      </c>
      <c r="J169" s="644">
        <v>10.6983414858</v>
      </c>
    </row>
    <row r="170" spans="5:10" x14ac:dyDescent="0.65">
      <c r="E170" s="645" t="s">
        <v>942</v>
      </c>
      <c r="F170" s="646">
        <v>28.421080807999999</v>
      </c>
      <c r="G170" s="646">
        <v>27.808514464800002</v>
      </c>
      <c r="H170" s="646">
        <v>38.2448225881</v>
      </c>
      <c r="I170" s="646">
        <v>23.3706181656</v>
      </c>
      <c r="J170" s="646">
        <v>34.117437780899998</v>
      </c>
    </row>
    <row r="171" spans="5:10" x14ac:dyDescent="0.65">
      <c r="E171" s="643" t="s">
        <v>943</v>
      </c>
      <c r="F171" s="644">
        <v>12.318306955900001</v>
      </c>
      <c r="G171" s="644">
        <v>23.7267691415</v>
      </c>
      <c r="H171" s="644">
        <v>54.530573433199997</v>
      </c>
      <c r="I171" s="644">
        <v>20.8704452608</v>
      </c>
      <c r="J171" s="644">
        <v>23.909843675400001</v>
      </c>
    </row>
    <row r="172" spans="5:10" x14ac:dyDescent="0.65">
      <c r="E172" s="645" t="s">
        <v>944</v>
      </c>
      <c r="F172" s="646">
        <v>29.630695298300001</v>
      </c>
      <c r="G172" s="646">
        <v>15.3905101648</v>
      </c>
      <c r="H172" s="646">
        <v>6.3741349645999996</v>
      </c>
      <c r="I172" s="646">
        <v>17.488845850600001</v>
      </c>
      <c r="J172" s="646">
        <v>15.2656790632</v>
      </c>
    </row>
    <row r="173" spans="5:10" x14ac:dyDescent="0.65">
      <c r="E173" s="636"/>
      <c r="F173" s="636"/>
      <c r="G173" s="636"/>
      <c r="H173" s="636"/>
      <c r="I173" s="636"/>
      <c r="J173" s="636"/>
    </row>
    <row r="174" spans="5:10" x14ac:dyDescent="0.65">
      <c r="E174" s="636"/>
      <c r="F174" s="636"/>
      <c r="G174" s="636"/>
      <c r="H174" s="636"/>
      <c r="I174" s="636"/>
      <c r="J174" s="636"/>
    </row>
    <row r="175" spans="5:10" ht="40.299999999999997" thickBot="1" x14ac:dyDescent="0.7">
      <c r="E175" s="641" t="s">
        <v>945</v>
      </c>
      <c r="F175" s="642" t="s">
        <v>923</v>
      </c>
      <c r="G175" s="642" t="s">
        <v>924</v>
      </c>
      <c r="H175" s="642" t="s">
        <v>925</v>
      </c>
      <c r="I175" s="642" t="s">
        <v>926</v>
      </c>
      <c r="J175" s="642" t="s">
        <v>927</v>
      </c>
    </row>
    <row r="176" spans="5:10" x14ac:dyDescent="0.65">
      <c r="E176" s="643" t="s">
        <v>946</v>
      </c>
      <c r="F176" s="644">
        <v>0.7188439391</v>
      </c>
      <c r="G176" s="644">
        <v>0.42348301179999998</v>
      </c>
      <c r="H176" s="644">
        <v>0.35551188420000002</v>
      </c>
      <c r="I176" s="644">
        <v>0.2237067569</v>
      </c>
      <c r="J176" s="644">
        <v>0.56802861869999999</v>
      </c>
    </row>
    <row r="177" spans="5:10" x14ac:dyDescent="0.65">
      <c r="E177" s="645" t="s">
        <v>947</v>
      </c>
      <c r="F177" s="646">
        <v>2.5567435278000001</v>
      </c>
      <c r="G177" s="646">
        <v>0.73455426359999998</v>
      </c>
      <c r="H177" s="646">
        <v>0.551618991</v>
      </c>
      <c r="I177" s="646">
        <v>0.28817300530000001</v>
      </c>
      <c r="J177" s="646">
        <v>1.3149681741999999</v>
      </c>
    </row>
    <row r="178" spans="5:10" x14ac:dyDescent="0.65">
      <c r="E178" s="643" t="s">
        <v>948</v>
      </c>
      <c r="F178" s="644">
        <v>0.13818248890000001</v>
      </c>
      <c r="G178" s="644">
        <v>7.1735525999999999E-3</v>
      </c>
      <c r="H178" s="644">
        <v>0</v>
      </c>
      <c r="I178" s="644">
        <v>0</v>
      </c>
      <c r="J178" s="644">
        <v>0</v>
      </c>
    </row>
    <row r="179" spans="5:10" x14ac:dyDescent="0.65">
      <c r="E179" s="645" t="s">
        <v>949</v>
      </c>
      <c r="F179" s="646">
        <v>0.4914796729</v>
      </c>
      <c r="G179" s="646">
        <v>1.2442916199999999E-2</v>
      </c>
      <c r="H179" s="646">
        <v>0</v>
      </c>
      <c r="I179" s="646">
        <v>0</v>
      </c>
      <c r="J179" s="646">
        <v>0</v>
      </c>
    </row>
    <row r="180" spans="5:10" x14ac:dyDescent="0.65">
      <c r="E180" s="643" t="s">
        <v>950</v>
      </c>
      <c r="F180" s="644">
        <v>0</v>
      </c>
      <c r="G180" s="644">
        <v>0</v>
      </c>
      <c r="H180" s="644">
        <v>0</v>
      </c>
      <c r="I180" s="644">
        <v>0</v>
      </c>
      <c r="J180" s="644">
        <v>0</v>
      </c>
    </row>
    <row r="181" spans="5:10" x14ac:dyDescent="0.65">
      <c r="E181" s="645" t="s">
        <v>951</v>
      </c>
      <c r="F181" s="646">
        <v>7.9594619899999997E-2</v>
      </c>
      <c r="G181" s="646">
        <v>0.31171412770000001</v>
      </c>
      <c r="H181" s="646">
        <v>0.266096838</v>
      </c>
      <c r="I181" s="646">
        <v>0.62206185700000005</v>
      </c>
      <c r="J181" s="646">
        <v>0.34537058269999998</v>
      </c>
    </row>
    <row r="182" spans="5:10" x14ac:dyDescent="0.65">
      <c r="E182" s="643" t="s">
        <v>952</v>
      </c>
      <c r="F182" s="644">
        <v>5.8006273167</v>
      </c>
      <c r="G182" s="644">
        <v>59.148812505400002</v>
      </c>
      <c r="H182" s="644">
        <v>550.90380139640001</v>
      </c>
      <c r="I182" s="644">
        <v>40182.590083798903</v>
      </c>
      <c r="J182" s="644"/>
    </row>
    <row r="183" spans="5:10" x14ac:dyDescent="0.65">
      <c r="E183" s="636"/>
      <c r="F183" s="636"/>
      <c r="G183" s="636"/>
      <c r="H183" s="636"/>
      <c r="I183" s="636"/>
      <c r="J183" s="636"/>
    </row>
    <row r="184" spans="5:10" x14ac:dyDescent="0.65">
      <c r="E184" s="636"/>
      <c r="F184" s="636"/>
      <c r="G184" s="636"/>
      <c r="H184" s="636"/>
      <c r="I184" s="636"/>
      <c r="J184" s="636"/>
    </row>
    <row r="185" spans="5:10" ht="40.299999999999997" thickBot="1" x14ac:dyDescent="0.7">
      <c r="E185" s="641" t="s">
        <v>953</v>
      </c>
      <c r="F185" s="642" t="s">
        <v>923</v>
      </c>
      <c r="G185" s="642" t="s">
        <v>924</v>
      </c>
      <c r="H185" s="642" t="s">
        <v>925</v>
      </c>
      <c r="I185" s="642" t="s">
        <v>926</v>
      </c>
      <c r="J185" s="642" t="s">
        <v>927</v>
      </c>
    </row>
    <row r="186" spans="5:10" x14ac:dyDescent="0.65">
      <c r="E186" s="643" t="s">
        <v>954</v>
      </c>
      <c r="F186" s="644">
        <v>0.60711989830000002</v>
      </c>
      <c r="G186" s="644">
        <v>1.4528775116999999</v>
      </c>
      <c r="H186" s="644">
        <v>1.8005873179</v>
      </c>
      <c r="I186" s="644">
        <v>4.0529772690000003</v>
      </c>
      <c r="J186" s="644">
        <v>1.5720356891</v>
      </c>
    </row>
    <row r="187" spans="5:10" x14ac:dyDescent="0.65">
      <c r="E187" s="645" t="s">
        <v>955</v>
      </c>
      <c r="F187" s="646">
        <v>0.32994635560000002</v>
      </c>
      <c r="G187" s="646">
        <v>0.47854275680000002</v>
      </c>
      <c r="H187" s="646">
        <v>0.54885390300000003</v>
      </c>
      <c r="I187" s="646">
        <v>2.8914169404000001</v>
      </c>
      <c r="J187" s="646">
        <v>0.42508444270000001</v>
      </c>
    </row>
    <row r="188" spans="5:10" x14ac:dyDescent="0.65">
      <c r="E188" s="643" t="s">
        <v>956</v>
      </c>
      <c r="F188" s="644">
        <v>2.8609035599999999E-2</v>
      </c>
      <c r="G188" s="644">
        <v>0.25283815459999998</v>
      </c>
      <c r="H188" s="644">
        <v>0.2726021247</v>
      </c>
      <c r="I188" s="644">
        <v>0.47653272730000001</v>
      </c>
      <c r="J188" s="644">
        <v>0.29493537390000002</v>
      </c>
    </row>
    <row r="189" spans="5:10" x14ac:dyDescent="0.65">
      <c r="E189" s="636"/>
      <c r="F189" s="636"/>
      <c r="G189" s="636"/>
      <c r="H189" s="636"/>
      <c r="I189" s="636"/>
      <c r="J189" s="636"/>
    </row>
    <row r="190" spans="5:10" x14ac:dyDescent="0.65">
      <c r="E190" s="636"/>
      <c r="F190" s="636"/>
      <c r="G190" s="636"/>
      <c r="H190" s="636"/>
      <c r="I190" s="636"/>
      <c r="J190" s="636"/>
    </row>
    <row r="191" spans="5:10" ht="40.299999999999997" thickBot="1" x14ac:dyDescent="0.7">
      <c r="E191" s="641" t="s">
        <v>957</v>
      </c>
      <c r="F191" s="642" t="s">
        <v>923</v>
      </c>
      <c r="G191" s="642" t="s">
        <v>924</v>
      </c>
      <c r="H191" s="642" t="s">
        <v>925</v>
      </c>
      <c r="I191" s="642" t="s">
        <v>926</v>
      </c>
      <c r="J191" s="642" t="s">
        <v>927</v>
      </c>
    </row>
    <row r="192" spans="5:10" x14ac:dyDescent="0.65">
      <c r="E192" s="643" t="s">
        <v>958</v>
      </c>
      <c r="F192" s="644">
        <v>2.8904525800000001E-2</v>
      </c>
      <c r="G192" s="644">
        <v>6.5021490400000007E-2</v>
      </c>
      <c r="H192" s="644">
        <v>1.5834838100000002E-2</v>
      </c>
      <c r="I192" s="644">
        <v>3.3863820900000001E-2</v>
      </c>
      <c r="J192" s="644">
        <v>4.2405103700000002E-2</v>
      </c>
    </row>
    <row r="193" spans="5:10" x14ac:dyDescent="0.65">
      <c r="E193" s="645" t="s">
        <v>959</v>
      </c>
      <c r="F193" s="646">
        <v>0.55116694040000003</v>
      </c>
      <c r="G193" s="646">
        <v>0.65806286449999996</v>
      </c>
      <c r="H193" s="646">
        <v>0.4067755401</v>
      </c>
      <c r="I193" s="646">
        <v>0.21814396010000001</v>
      </c>
      <c r="J193" s="646">
        <v>0.36887734179999998</v>
      </c>
    </row>
    <row r="194" spans="5:10" x14ac:dyDescent="0.65">
      <c r="E194" s="643" t="s">
        <v>960</v>
      </c>
      <c r="F194" s="644">
        <v>2.2530424E-2</v>
      </c>
      <c r="G194" s="644">
        <v>4.0645570300000003E-2</v>
      </c>
      <c r="H194" s="644">
        <v>1.42097565E-2</v>
      </c>
      <c r="I194" s="644">
        <v>3.3860269399999997E-2</v>
      </c>
      <c r="J194" s="644">
        <v>4.2405103700000002E-2</v>
      </c>
    </row>
    <row r="195" spans="5:10" x14ac:dyDescent="0.65">
      <c r="E195" s="645" t="s">
        <v>961</v>
      </c>
      <c r="F195" s="646">
        <v>0.42962216330000003</v>
      </c>
      <c r="G195" s="646">
        <v>0.41136153990000002</v>
      </c>
      <c r="H195" s="646">
        <v>0.36502939579999999</v>
      </c>
      <c r="I195" s="646">
        <v>0.21812108199999999</v>
      </c>
      <c r="J195" s="646">
        <v>0.36887734179999998</v>
      </c>
    </row>
    <row r="196" spans="5:10" x14ac:dyDescent="0.65">
      <c r="E196" s="643" t="s">
        <v>962</v>
      </c>
      <c r="F196" s="644">
        <v>1.27623345E-2</v>
      </c>
      <c r="G196" s="644">
        <v>1.05846828E-2</v>
      </c>
      <c r="H196" s="644">
        <v>4.6348472000000002E-3</v>
      </c>
      <c r="I196" s="644">
        <v>1.47543759E-2</v>
      </c>
      <c r="J196" s="644">
        <v>1.36476979E-2</v>
      </c>
    </row>
    <row r="197" spans="5:10" x14ac:dyDescent="0.65">
      <c r="E197" s="645" t="s">
        <v>963</v>
      </c>
      <c r="F197" s="646">
        <v>0.2433590122</v>
      </c>
      <c r="G197" s="646">
        <v>0.1071243773</v>
      </c>
      <c r="H197" s="646">
        <v>0.1190629455</v>
      </c>
      <c r="I197" s="646">
        <v>9.5044737800000001E-2</v>
      </c>
      <c r="J197" s="646">
        <v>0.11871982590000001</v>
      </c>
    </row>
    <row r="198" spans="5:10" x14ac:dyDescent="0.65">
      <c r="E198" s="643" t="s">
        <v>964</v>
      </c>
      <c r="F198" s="644">
        <v>4.1345965999999998E-2</v>
      </c>
      <c r="G198" s="644">
        <v>7.4392796999999997E-2</v>
      </c>
      <c r="H198" s="644">
        <v>1.51337633E-2</v>
      </c>
      <c r="I198" s="644">
        <v>4.6356592199999998E-2</v>
      </c>
      <c r="J198" s="644">
        <v>5.3220252599999997E-2</v>
      </c>
    </row>
    <row r="199" spans="5:10" x14ac:dyDescent="0.65">
      <c r="E199" s="645" t="s">
        <v>965</v>
      </c>
      <c r="F199" s="646">
        <v>0.13553419780000001</v>
      </c>
      <c r="G199" s="646">
        <v>0.4492073788</v>
      </c>
      <c r="H199" s="646">
        <v>0.13754083819999999</v>
      </c>
      <c r="I199" s="646">
        <v>0.56634755889999999</v>
      </c>
      <c r="J199" s="646">
        <v>0.53833919649999995</v>
      </c>
    </row>
    <row r="200" spans="5:10" x14ac:dyDescent="0.65">
      <c r="E200" s="643" t="s">
        <v>966</v>
      </c>
      <c r="F200" s="644">
        <v>-9.8356238000000002E-3</v>
      </c>
      <c r="G200" s="644">
        <v>-3.3145323099999999E-2</v>
      </c>
      <c r="H200" s="644">
        <v>-7.3228666900000003E-2</v>
      </c>
      <c r="I200" s="644">
        <v>-1.93843699E-2</v>
      </c>
      <c r="J200" s="644">
        <v>-1.25783049E-2</v>
      </c>
    </row>
    <row r="201" spans="5:10" x14ac:dyDescent="0.65">
      <c r="E201" s="645" t="s">
        <v>967</v>
      </c>
      <c r="F201" s="646">
        <v>-2.77671855E-2</v>
      </c>
      <c r="G201" s="646">
        <v>-2.5204300700000001E-2</v>
      </c>
      <c r="H201" s="646">
        <v>9.6732749999999998E-4</v>
      </c>
      <c r="I201" s="646">
        <v>-2.0608316200000001E-2</v>
      </c>
      <c r="J201" s="646">
        <v>-1.0424477200000001E-2</v>
      </c>
    </row>
    <row r="202" spans="5:10" x14ac:dyDescent="0.65">
      <c r="E202" s="647"/>
      <c r="F202" s="647"/>
      <c r="G202" s="647"/>
      <c r="H202" s="647"/>
      <c r="I202" s="647"/>
      <c r="J202" s="647"/>
    </row>
    <row r="203" spans="5:10" x14ac:dyDescent="0.65">
      <c r="E203" s="647"/>
      <c r="F203" s="647"/>
      <c r="G203" s="647"/>
      <c r="H203" s="647"/>
      <c r="I203" s="647"/>
      <c r="J203" s="647"/>
    </row>
    <row r="204" spans="5:10" ht="40.299999999999997" thickBot="1" x14ac:dyDescent="0.7">
      <c r="E204" s="641" t="s">
        <v>968</v>
      </c>
      <c r="F204" s="642" t="s">
        <v>923</v>
      </c>
      <c r="G204" s="642" t="s">
        <v>924</v>
      </c>
      <c r="H204" s="642" t="s">
        <v>925</v>
      </c>
      <c r="I204" s="642" t="s">
        <v>926</v>
      </c>
      <c r="J204" s="642" t="s">
        <v>927</v>
      </c>
    </row>
    <row r="205" spans="5:10" x14ac:dyDescent="0.65">
      <c r="E205" s="643" t="s">
        <v>969</v>
      </c>
      <c r="F205" s="644">
        <v>30169.416029</v>
      </c>
      <c r="G205" s="644">
        <v>66015.678524000003</v>
      </c>
      <c r="H205" s="644">
        <v>155143.54</v>
      </c>
      <c r="I205" s="644">
        <v>321864.11099999998</v>
      </c>
      <c r="J205" s="644">
        <v>282692.96100000001</v>
      </c>
    </row>
    <row r="206" spans="5:10" x14ac:dyDescent="0.65">
      <c r="E206" s="645" t="s">
        <v>970</v>
      </c>
      <c r="F206" s="646">
        <v>8402.5529999999999</v>
      </c>
      <c r="G206" s="646">
        <v>24182.434000000001</v>
      </c>
      <c r="H206" s="646">
        <v>24908.323</v>
      </c>
      <c r="I206" s="646">
        <v>73421.898000000001</v>
      </c>
      <c r="J206" s="646">
        <v>72704.297999999995</v>
      </c>
    </row>
    <row r="207" spans="5:10" x14ac:dyDescent="0.65">
      <c r="E207" s="643" t="s">
        <v>971</v>
      </c>
      <c r="F207" s="644">
        <v>3391.1</v>
      </c>
      <c r="G207" s="644">
        <v>12758.118</v>
      </c>
      <c r="H207" s="644">
        <v>3906.3180000000002</v>
      </c>
      <c r="I207" s="644">
        <v>16626.499</v>
      </c>
      <c r="J207" s="644">
        <v>33297.96</v>
      </c>
    </row>
    <row r="208" spans="5:10" x14ac:dyDescent="0.65">
      <c r="E208" s="645" t="s">
        <v>972</v>
      </c>
      <c r="F208" s="646">
        <v>2724.3290000000002</v>
      </c>
      <c r="G208" s="646">
        <v>11150.97</v>
      </c>
      <c r="H208" s="646">
        <v>4087.279</v>
      </c>
      <c r="I208" s="646">
        <v>12145.776</v>
      </c>
      <c r="J208" s="646">
        <v>26531.317999999999</v>
      </c>
    </row>
    <row r="209" spans="5:10" x14ac:dyDescent="0.65">
      <c r="E209" s="643" t="s">
        <v>973</v>
      </c>
      <c r="F209" s="644">
        <v>1847.8937224909896</v>
      </c>
      <c r="G209" s="644">
        <v>6970.5805300415941</v>
      </c>
      <c r="H209" s="644">
        <v>3667.8139089793594</v>
      </c>
      <c r="I209" s="644">
        <v>12144.50219730613</v>
      </c>
      <c r="J209" s="644">
        <v>26531.317999999999</v>
      </c>
    </row>
    <row r="212" spans="5:10" x14ac:dyDescent="0.65">
      <c r="E212" s="636"/>
      <c r="F212" s="636"/>
      <c r="G212" s="636"/>
      <c r="H212" s="636"/>
      <c r="I212" s="636"/>
      <c r="J212" s="636"/>
    </row>
    <row r="213" spans="5:10" x14ac:dyDescent="0.65">
      <c r="E213" s="637" t="s">
        <v>43</v>
      </c>
      <c r="F213" s="636"/>
      <c r="G213" s="636"/>
      <c r="H213" s="636"/>
      <c r="I213" s="636"/>
      <c r="J213" s="636"/>
    </row>
    <row r="214" spans="5:10" x14ac:dyDescent="0.65">
      <c r="E214" s="638" t="s">
        <v>42</v>
      </c>
      <c r="F214" s="636"/>
      <c r="G214" s="636"/>
      <c r="H214" s="636"/>
      <c r="I214" s="636"/>
      <c r="J214" s="636"/>
    </row>
    <row r="215" spans="5:10" x14ac:dyDescent="0.65">
      <c r="E215" s="636"/>
      <c r="F215" s="636"/>
      <c r="G215" s="636"/>
      <c r="H215" s="636"/>
      <c r="I215" s="636"/>
      <c r="J215" s="636"/>
    </row>
    <row r="216" spans="5:10" x14ac:dyDescent="0.65">
      <c r="E216" s="639" t="s">
        <v>824</v>
      </c>
      <c r="F216" s="639"/>
      <c r="G216" s="639"/>
      <c r="H216" s="639"/>
      <c r="I216" s="639"/>
      <c r="J216" s="639"/>
    </row>
    <row r="217" spans="5:10" x14ac:dyDescent="0.65">
      <c r="E217" s="640" t="s">
        <v>921</v>
      </c>
      <c r="F217" s="639"/>
      <c r="G217" s="639"/>
      <c r="H217" s="639"/>
      <c r="I217" s="639"/>
      <c r="J217" s="639"/>
    </row>
    <row r="218" spans="5:10" x14ac:dyDescent="0.65">
      <c r="E218" s="636"/>
      <c r="F218" s="636"/>
      <c r="G218" s="636"/>
      <c r="H218" s="636"/>
      <c r="I218" s="636"/>
      <c r="J218" s="636"/>
    </row>
    <row r="219" spans="5:10" ht="40.299999999999997" thickBot="1" x14ac:dyDescent="0.7">
      <c r="E219" s="641" t="s">
        <v>922</v>
      </c>
      <c r="F219" s="642" t="s">
        <v>923</v>
      </c>
      <c r="G219" s="642" t="s">
        <v>924</v>
      </c>
      <c r="H219" s="642" t="s">
        <v>925</v>
      </c>
      <c r="I219" s="642" t="s">
        <v>926</v>
      </c>
      <c r="J219" s="642" t="s">
        <v>927</v>
      </c>
    </row>
    <row r="220" spans="5:10" x14ac:dyDescent="0.65">
      <c r="E220" s="643" t="s">
        <v>928</v>
      </c>
      <c r="F220" s="644">
        <v>8.8242005200000001E-2</v>
      </c>
      <c r="G220" s="644">
        <v>0.10252305120000001</v>
      </c>
      <c r="H220" s="644">
        <v>7.0179740099999999E-2</v>
      </c>
      <c r="I220" s="644">
        <v>0.1193566527</v>
      </c>
      <c r="J220" s="644">
        <v>0.125018825</v>
      </c>
    </row>
    <row r="221" spans="5:10" x14ac:dyDescent="0.65">
      <c r="E221" s="645" t="s">
        <v>929</v>
      </c>
      <c r="F221" s="646">
        <v>6.2191516199999998E-2</v>
      </c>
      <c r="G221" s="646">
        <v>9.5117626400000002E-2</v>
      </c>
      <c r="H221" s="646">
        <v>-7.6188820000000002E-4</v>
      </c>
      <c r="I221" s="646">
        <v>0.18932235350000001</v>
      </c>
      <c r="J221" s="646">
        <v>9.97148172E-2</v>
      </c>
    </row>
    <row r="222" spans="5:10" x14ac:dyDescent="0.65">
      <c r="E222" s="643" t="s">
        <v>930</v>
      </c>
      <c r="F222" s="644">
        <v>7.9976671700000002E-2</v>
      </c>
      <c r="G222" s="644">
        <v>0.10116377159999999</v>
      </c>
      <c r="H222" s="644">
        <v>4.8684209700000002E-2</v>
      </c>
      <c r="I222" s="644">
        <v>0.14488511609999999</v>
      </c>
      <c r="J222" s="644">
        <v>0.13178937260000001</v>
      </c>
    </row>
    <row r="223" spans="5:10" x14ac:dyDescent="0.65">
      <c r="E223" s="645" t="s">
        <v>931</v>
      </c>
      <c r="F223" s="646">
        <v>6.5548175099999995E-2</v>
      </c>
      <c r="G223" s="646">
        <v>9.9642969100000006E-2</v>
      </c>
      <c r="H223" s="646">
        <v>-6.8070710500000006E-2</v>
      </c>
      <c r="I223" s="646">
        <v>0.1963714328</v>
      </c>
      <c r="J223" s="646">
        <v>0.11605998419999999</v>
      </c>
    </row>
    <row r="224" spans="5:10" x14ac:dyDescent="0.65">
      <c r="E224" s="643" t="s">
        <v>932</v>
      </c>
      <c r="F224" s="644">
        <v>8.7399411299999993E-2</v>
      </c>
      <c r="G224" s="644">
        <v>0.11051823970000001</v>
      </c>
      <c r="H224" s="644">
        <v>6.9013893300000004E-2</v>
      </c>
      <c r="I224" s="644">
        <v>0.1696851117</v>
      </c>
      <c r="J224" s="644">
        <v>0.15616240040000001</v>
      </c>
    </row>
    <row r="225" spans="5:10" x14ac:dyDescent="0.65">
      <c r="E225" s="645" t="s">
        <v>933</v>
      </c>
      <c r="F225" s="646">
        <v>7.4193025999999995E-2</v>
      </c>
      <c r="G225" s="646">
        <v>9.6119528999999995E-2</v>
      </c>
      <c r="H225" s="646">
        <v>5.8311595799999998E-2</v>
      </c>
      <c r="I225" s="646">
        <v>0.1532365171</v>
      </c>
      <c r="J225" s="646">
        <v>0.13563581990000001</v>
      </c>
    </row>
    <row r="226" spans="5:10" x14ac:dyDescent="0.65">
      <c r="E226" s="643" t="s">
        <v>934</v>
      </c>
      <c r="F226" s="644">
        <v>6.2835110200000002E-2</v>
      </c>
      <c r="G226" s="644">
        <v>0.10355765829999999</v>
      </c>
      <c r="H226" s="644">
        <v>-3.6351406900000001E-2</v>
      </c>
      <c r="I226" s="644">
        <v>0.2039183436</v>
      </c>
      <c r="J226" s="644">
        <v>0.11311989159999999</v>
      </c>
    </row>
    <row r="227" spans="5:10" x14ac:dyDescent="0.65">
      <c r="E227" s="645" t="s">
        <v>935</v>
      </c>
      <c r="F227" s="646">
        <v>0.31755187499999998</v>
      </c>
      <c r="G227" s="646">
        <v>0.52945191820000004</v>
      </c>
      <c r="H227" s="646">
        <v>0.26130400590000002</v>
      </c>
      <c r="I227" s="646">
        <v>0.62681207689999996</v>
      </c>
      <c r="J227" s="646">
        <v>0.5750274688</v>
      </c>
    </row>
    <row r="228" spans="5:10" x14ac:dyDescent="0.65">
      <c r="E228" s="643" t="s">
        <v>936</v>
      </c>
      <c r="F228" s="644">
        <v>0.48066443889999999</v>
      </c>
      <c r="G228" s="644">
        <v>0.84008365250000006</v>
      </c>
      <c r="H228" s="644">
        <v>0.41075805929999998</v>
      </c>
      <c r="I228" s="644">
        <v>0.94340132119999998</v>
      </c>
      <c r="J228" s="644">
        <v>0.81665710400000002</v>
      </c>
    </row>
    <row r="229" spans="5:10" x14ac:dyDescent="0.65">
      <c r="E229" s="645" t="s">
        <v>937</v>
      </c>
      <c r="F229" s="646">
        <v>0.34230632500000002</v>
      </c>
      <c r="G229" s="646">
        <v>0.55723694720000005</v>
      </c>
      <c r="H229" s="646">
        <v>0.2181620796</v>
      </c>
      <c r="I229" s="646">
        <v>0.59265077479999995</v>
      </c>
      <c r="J229" s="646">
        <v>0.5587204724</v>
      </c>
    </row>
    <row r="230" spans="5:10" x14ac:dyDescent="0.65">
      <c r="E230" s="636"/>
      <c r="F230" s="636"/>
      <c r="G230" s="636"/>
      <c r="H230" s="636"/>
      <c r="I230" s="636"/>
      <c r="J230" s="636"/>
    </row>
    <row r="231" spans="5:10" x14ac:dyDescent="0.65">
      <c r="E231" s="636"/>
      <c r="F231" s="636"/>
      <c r="G231" s="636"/>
      <c r="H231" s="636"/>
      <c r="I231" s="636"/>
      <c r="J231" s="636"/>
    </row>
    <row r="232" spans="5:10" ht="40.299999999999997" thickBot="1" x14ac:dyDescent="0.7">
      <c r="E232" s="641" t="s">
        <v>938</v>
      </c>
      <c r="F232" s="642" t="s">
        <v>923</v>
      </c>
      <c r="G232" s="642" t="s">
        <v>924</v>
      </c>
      <c r="H232" s="642" t="s">
        <v>925</v>
      </c>
      <c r="I232" s="642" t="s">
        <v>926</v>
      </c>
      <c r="J232" s="642" t="s">
        <v>927</v>
      </c>
    </row>
    <row r="233" spans="5:10" x14ac:dyDescent="0.65">
      <c r="E233" s="643" t="s">
        <v>939</v>
      </c>
      <c r="F233" s="644">
        <v>4.2800771484000002</v>
      </c>
      <c r="G233" s="644">
        <v>5.5082658382999998</v>
      </c>
      <c r="H233" s="644">
        <v>4.4811671204000003</v>
      </c>
      <c r="I233" s="644">
        <v>4.0904876263999999</v>
      </c>
      <c r="J233" s="644">
        <v>4.2394956528999996</v>
      </c>
    </row>
    <row r="234" spans="5:10" x14ac:dyDescent="0.65">
      <c r="E234" s="645" t="s">
        <v>940</v>
      </c>
      <c r="F234" s="646">
        <v>16.764718486500001</v>
      </c>
      <c r="G234" s="646">
        <v>32.630419777599997</v>
      </c>
      <c r="H234" s="646">
        <v>46.797402070499999</v>
      </c>
      <c r="I234" s="646">
        <v>54.178330555800002</v>
      </c>
      <c r="J234" s="646">
        <v>66.415146878599998</v>
      </c>
    </row>
    <row r="235" spans="5:10" x14ac:dyDescent="0.65">
      <c r="E235" s="643" t="s">
        <v>941</v>
      </c>
      <c r="F235" s="644">
        <v>12.3757235453</v>
      </c>
      <c r="G235" s="644">
        <v>13.3050899772</v>
      </c>
      <c r="H235" s="644">
        <v>10.914393392999999</v>
      </c>
      <c r="I235" s="644">
        <v>13.362783583800001</v>
      </c>
      <c r="J235" s="644">
        <v>13.3255444239</v>
      </c>
    </row>
    <row r="236" spans="5:10" x14ac:dyDescent="0.65">
      <c r="E236" s="645" t="s">
        <v>942</v>
      </c>
      <c r="F236" s="646">
        <v>29.4932250761</v>
      </c>
      <c r="G236" s="646">
        <v>27.433110232600001</v>
      </c>
      <c r="H236" s="646">
        <v>33.442078442499998</v>
      </c>
      <c r="I236" s="646">
        <v>27.314668213600001</v>
      </c>
      <c r="J236" s="646">
        <v>27.391000951999999</v>
      </c>
    </row>
    <row r="237" spans="5:10" x14ac:dyDescent="0.65">
      <c r="E237" s="643" t="s">
        <v>943</v>
      </c>
      <c r="F237" s="644">
        <v>22.065590877999998</v>
      </c>
      <c r="G237" s="644">
        <v>60.790706949899999</v>
      </c>
      <c r="H237" s="644">
        <v>90.295599174299994</v>
      </c>
      <c r="I237" s="644">
        <v>54.9351345018</v>
      </c>
      <c r="J237" s="644">
        <v>70.403704873799995</v>
      </c>
    </row>
    <row r="238" spans="5:10" x14ac:dyDescent="0.65">
      <c r="E238" s="645" t="s">
        <v>944</v>
      </c>
      <c r="F238" s="646">
        <v>16.541591930100001</v>
      </c>
      <c r="G238" s="646">
        <v>6.3722792286000001</v>
      </c>
      <c r="H238" s="646">
        <v>3.9987860038999998</v>
      </c>
      <c r="I238" s="646">
        <v>6.6441996239999996</v>
      </c>
      <c r="J238" s="646">
        <v>5.1843862570999999</v>
      </c>
    </row>
    <row r="239" spans="5:10" x14ac:dyDescent="0.65">
      <c r="E239" s="636"/>
      <c r="F239" s="636"/>
      <c r="G239" s="636"/>
      <c r="H239" s="636"/>
      <c r="I239" s="636"/>
      <c r="J239" s="636"/>
    </row>
    <row r="240" spans="5:10" x14ac:dyDescent="0.65">
      <c r="E240" s="636"/>
      <c r="F240" s="636"/>
      <c r="G240" s="636"/>
      <c r="H240" s="636"/>
      <c r="I240" s="636"/>
      <c r="J240" s="636"/>
    </row>
    <row r="241" spans="5:10" ht="40.299999999999997" thickBot="1" x14ac:dyDescent="0.7">
      <c r="E241" s="641" t="s">
        <v>945</v>
      </c>
      <c r="F241" s="642" t="s">
        <v>923</v>
      </c>
      <c r="G241" s="642" t="s">
        <v>924</v>
      </c>
      <c r="H241" s="642" t="s">
        <v>925</v>
      </c>
      <c r="I241" s="642" t="s">
        <v>926</v>
      </c>
      <c r="J241" s="642" t="s">
        <v>927</v>
      </c>
    </row>
    <row r="242" spans="5:10" x14ac:dyDescent="0.65">
      <c r="E242" s="643" t="s">
        <v>946</v>
      </c>
      <c r="F242" s="644">
        <v>0.28662652929999999</v>
      </c>
      <c r="G242" s="644">
        <v>0.27902668060000002</v>
      </c>
      <c r="H242" s="644">
        <v>0.3532654268</v>
      </c>
      <c r="I242" s="644">
        <v>0.1941488894</v>
      </c>
      <c r="J242" s="644">
        <v>0.24732828609999999</v>
      </c>
    </row>
    <row r="243" spans="5:10" x14ac:dyDescent="0.65">
      <c r="E243" s="645" t="s">
        <v>947</v>
      </c>
      <c r="F243" s="646">
        <v>0.40179028379999998</v>
      </c>
      <c r="G243" s="646">
        <v>0.38701387850000002</v>
      </c>
      <c r="H243" s="646">
        <v>0.5462293829</v>
      </c>
      <c r="I243" s="646">
        <v>0.24092402039999999</v>
      </c>
      <c r="J243" s="646">
        <v>0.3286004796</v>
      </c>
    </row>
    <row r="244" spans="5:10" x14ac:dyDescent="0.65">
      <c r="E244" s="643" t="s">
        <v>948</v>
      </c>
      <c r="F244" s="644">
        <v>3.5332155999999999E-3</v>
      </c>
      <c r="G244" s="644">
        <v>3.2634572000000001E-3</v>
      </c>
      <c r="H244" s="644">
        <v>4.6160621000000002E-3</v>
      </c>
      <c r="I244" s="644">
        <v>0</v>
      </c>
      <c r="J244" s="644">
        <v>0</v>
      </c>
    </row>
    <row r="245" spans="5:10" x14ac:dyDescent="0.65">
      <c r="E245" s="645" t="s">
        <v>949</v>
      </c>
      <c r="F245" s="646">
        <v>4.9528272E-3</v>
      </c>
      <c r="G245" s="646">
        <v>4.5264603999999996E-3</v>
      </c>
      <c r="H245" s="646">
        <v>7.1374908999999997E-3</v>
      </c>
      <c r="I245" s="646">
        <v>0</v>
      </c>
      <c r="J245" s="646">
        <v>0</v>
      </c>
    </row>
    <row r="246" spans="5:10" x14ac:dyDescent="0.65">
      <c r="E246" s="643" t="s">
        <v>950</v>
      </c>
      <c r="F246" s="644">
        <v>0</v>
      </c>
      <c r="G246" s="644">
        <v>0</v>
      </c>
      <c r="H246" s="644">
        <v>0</v>
      </c>
      <c r="I246" s="644">
        <v>0</v>
      </c>
      <c r="J246" s="644">
        <v>0</v>
      </c>
    </row>
    <row r="247" spans="5:10" x14ac:dyDescent="0.65">
      <c r="E247" s="645" t="s">
        <v>951</v>
      </c>
      <c r="F247" s="646">
        <v>0.25376191939999998</v>
      </c>
      <c r="G247" s="646">
        <v>0.37668369930000001</v>
      </c>
      <c r="H247" s="646">
        <v>0.2217552438</v>
      </c>
      <c r="I247" s="646">
        <v>0.46716588679999999</v>
      </c>
      <c r="J247" s="646">
        <v>0.28377549429999999</v>
      </c>
    </row>
    <row r="248" spans="5:10" x14ac:dyDescent="0.65">
      <c r="E248" s="643" t="s">
        <v>952</v>
      </c>
      <c r="F248" s="644">
        <v>1119.8605375924999</v>
      </c>
      <c r="G248" s="644">
        <v>582.37408485080005</v>
      </c>
      <c r="H248" s="644">
        <v>300.07123419940001</v>
      </c>
      <c r="I248" s="644"/>
      <c r="J248" s="644">
        <v>4714.5463661295998</v>
      </c>
    </row>
    <row r="249" spans="5:10" x14ac:dyDescent="0.65">
      <c r="E249" s="636"/>
      <c r="F249" s="636"/>
      <c r="G249" s="636"/>
      <c r="H249" s="636"/>
      <c r="I249" s="636"/>
      <c r="J249" s="636"/>
    </row>
    <row r="250" spans="5:10" x14ac:dyDescent="0.65">
      <c r="E250" s="636"/>
      <c r="F250" s="636"/>
      <c r="G250" s="636"/>
      <c r="H250" s="636"/>
      <c r="I250" s="636"/>
      <c r="J250" s="636"/>
    </row>
    <row r="251" spans="5:10" ht="40.299999999999997" thickBot="1" x14ac:dyDescent="0.7">
      <c r="E251" s="641" t="s">
        <v>953</v>
      </c>
      <c r="F251" s="642" t="s">
        <v>923</v>
      </c>
      <c r="G251" s="642" t="s">
        <v>924</v>
      </c>
      <c r="H251" s="642" t="s">
        <v>925</v>
      </c>
      <c r="I251" s="642" t="s">
        <v>926</v>
      </c>
      <c r="J251" s="642" t="s">
        <v>927</v>
      </c>
    </row>
    <row r="252" spans="5:10" x14ac:dyDescent="0.65">
      <c r="E252" s="643" t="s">
        <v>954</v>
      </c>
      <c r="F252" s="644">
        <v>3.5461204740999999</v>
      </c>
      <c r="G252" s="644">
        <v>2.4277651155000002</v>
      </c>
      <c r="H252" s="644">
        <v>1.3285641780999999</v>
      </c>
      <c r="I252" s="644">
        <v>2.3081144741999999</v>
      </c>
      <c r="J252" s="644">
        <v>1.7469811672</v>
      </c>
    </row>
    <row r="253" spans="5:10" x14ac:dyDescent="0.65">
      <c r="E253" s="645" t="s">
        <v>955</v>
      </c>
      <c r="F253" s="646">
        <v>2.0295352861999998</v>
      </c>
      <c r="G253" s="646">
        <v>0.83426106749999995</v>
      </c>
      <c r="H253" s="646">
        <v>0.54970270409999999</v>
      </c>
      <c r="I253" s="646">
        <v>0.7901488955</v>
      </c>
      <c r="J253" s="646">
        <v>0.56221997290000003</v>
      </c>
    </row>
    <row r="254" spans="5:10" x14ac:dyDescent="0.65">
      <c r="E254" s="643" t="s">
        <v>956</v>
      </c>
      <c r="F254" s="644">
        <v>1.0154076375000001</v>
      </c>
      <c r="G254" s="644">
        <v>0.45305661089999999</v>
      </c>
      <c r="H254" s="644">
        <v>0.23259499240000001</v>
      </c>
      <c r="I254" s="644">
        <v>0.1564628673</v>
      </c>
      <c r="J254" s="644">
        <v>0.34016947819999999</v>
      </c>
    </row>
    <row r="255" spans="5:10" x14ac:dyDescent="0.65">
      <c r="E255" s="636"/>
      <c r="F255" s="636"/>
      <c r="G255" s="636"/>
      <c r="H255" s="636"/>
      <c r="I255" s="636"/>
      <c r="J255" s="636"/>
    </row>
    <row r="256" spans="5:10" x14ac:dyDescent="0.65">
      <c r="E256" s="636"/>
      <c r="F256" s="636"/>
      <c r="G256" s="636"/>
      <c r="H256" s="636"/>
      <c r="I256" s="636"/>
      <c r="J256" s="636"/>
    </row>
    <row r="257" spans="5:10" ht="40.299999999999997" thickBot="1" x14ac:dyDescent="0.7">
      <c r="E257" s="641" t="s">
        <v>957</v>
      </c>
      <c r="F257" s="642" t="s">
        <v>923</v>
      </c>
      <c r="G257" s="642" t="s">
        <v>924</v>
      </c>
      <c r="H257" s="642" t="s">
        <v>925</v>
      </c>
      <c r="I257" s="642" t="s">
        <v>926</v>
      </c>
      <c r="J257" s="642" t="s">
        <v>927</v>
      </c>
    </row>
    <row r="258" spans="5:10" x14ac:dyDescent="0.65">
      <c r="E258" s="643" t="s">
        <v>958</v>
      </c>
      <c r="F258" s="644">
        <v>3.0571750599999999E-2</v>
      </c>
      <c r="G258" s="644">
        <v>8.4865074400000004E-2</v>
      </c>
      <c r="H258" s="644">
        <v>4.2197273100000002E-2</v>
      </c>
      <c r="I258" s="644">
        <v>0.1088727592</v>
      </c>
      <c r="J258" s="644">
        <v>7.8607718899999998E-2</v>
      </c>
    </row>
    <row r="259" spans="5:10" x14ac:dyDescent="0.65">
      <c r="E259" s="645" t="s">
        <v>959</v>
      </c>
      <c r="F259" s="646">
        <v>0.41205693160000001</v>
      </c>
      <c r="G259" s="646">
        <v>0.88291188350000005</v>
      </c>
      <c r="H259" s="646">
        <v>0.72365148859999995</v>
      </c>
      <c r="I259" s="646">
        <v>0.71048834360000002</v>
      </c>
      <c r="J259" s="646">
        <v>0.57954984850000002</v>
      </c>
    </row>
    <row r="260" spans="5:10" x14ac:dyDescent="0.65">
      <c r="E260" s="643" t="s">
        <v>960</v>
      </c>
      <c r="F260" s="644">
        <v>3.0511125300000001E-2</v>
      </c>
      <c r="G260" s="644">
        <v>8.4713996599999994E-2</v>
      </c>
      <c r="H260" s="644">
        <v>4.2060190599999998E-2</v>
      </c>
      <c r="I260" s="644">
        <v>0.1080997672</v>
      </c>
      <c r="J260" s="644">
        <v>7.8137114999999993E-2</v>
      </c>
    </row>
    <row r="261" spans="5:10" x14ac:dyDescent="0.65">
      <c r="E261" s="645" t="s">
        <v>961</v>
      </c>
      <c r="F261" s="646">
        <v>0.4112398021</v>
      </c>
      <c r="G261" s="646">
        <v>0.88134011339999996</v>
      </c>
      <c r="H261" s="646">
        <v>0.72130062610000001</v>
      </c>
      <c r="I261" s="646">
        <v>0.7054439065</v>
      </c>
      <c r="J261" s="646">
        <v>0.57608023480000004</v>
      </c>
    </row>
    <row r="262" spans="5:10" x14ac:dyDescent="0.65">
      <c r="E262" s="643" t="s">
        <v>962</v>
      </c>
      <c r="F262" s="644">
        <v>7.1767402999999997E-3</v>
      </c>
      <c r="G262" s="644">
        <v>5.9132344999999996E-3</v>
      </c>
      <c r="H262" s="644">
        <v>3.0639624000000001E-3</v>
      </c>
      <c r="I262" s="644">
        <v>9.5087022E-3</v>
      </c>
      <c r="J262" s="644">
        <v>1.0961865899999999E-2</v>
      </c>
    </row>
    <row r="263" spans="5:10" x14ac:dyDescent="0.65">
      <c r="E263" s="645" t="s">
        <v>963</v>
      </c>
      <c r="F263" s="646">
        <v>9.6730659299999994E-2</v>
      </c>
      <c r="G263" s="646">
        <v>6.1519595400000002E-2</v>
      </c>
      <c r="H263" s="646">
        <v>5.2544650399999997E-2</v>
      </c>
      <c r="I263" s="646">
        <v>6.20524561E-2</v>
      </c>
      <c r="J263" s="646">
        <v>8.0818370299999998E-2</v>
      </c>
    </row>
    <row r="264" spans="5:10" x14ac:dyDescent="0.65">
      <c r="E264" s="643" t="s">
        <v>964</v>
      </c>
      <c r="F264" s="644">
        <v>4.3655957099999997E-2</v>
      </c>
      <c r="G264" s="644">
        <v>8.2970775499999996E-2</v>
      </c>
      <c r="H264" s="644">
        <v>2.6489709399999999E-2</v>
      </c>
      <c r="I264" s="644">
        <v>9.4845202000000003E-2</v>
      </c>
      <c r="J264" s="644">
        <v>6.5270285900000002E-2</v>
      </c>
    </row>
    <row r="265" spans="5:10" x14ac:dyDescent="0.65">
      <c r="E265" s="645" t="s">
        <v>965</v>
      </c>
      <c r="F265" s="646">
        <v>0.55061709309999995</v>
      </c>
      <c r="G265" s="646">
        <v>1.2359951131</v>
      </c>
      <c r="H265" s="646">
        <v>0.32624715269999999</v>
      </c>
      <c r="I265" s="646">
        <v>1.1560876804</v>
      </c>
      <c r="J265" s="646">
        <v>0.93523177820000003</v>
      </c>
    </row>
    <row r="266" spans="5:10" x14ac:dyDescent="0.65">
      <c r="E266" s="643" t="s">
        <v>966</v>
      </c>
      <c r="F266" s="644">
        <v>-1.05947844E-2</v>
      </c>
      <c r="G266" s="644">
        <v>-5.5524815999999999E-3</v>
      </c>
      <c r="H266" s="644">
        <v>-1.2722906500000001E-2</v>
      </c>
      <c r="I266" s="644">
        <v>-1.57812409E-2</v>
      </c>
      <c r="J266" s="644">
        <v>-9.7493465000000005E-3</v>
      </c>
    </row>
    <row r="267" spans="5:10" x14ac:dyDescent="0.65">
      <c r="E267" s="645" t="s">
        <v>967</v>
      </c>
      <c r="F267" s="646">
        <v>-3.3390195499999997E-2</v>
      </c>
      <c r="G267" s="646">
        <v>-6.1965403600000003E-2</v>
      </c>
      <c r="H267" s="646">
        <v>-1.2776149400000001E-2</v>
      </c>
      <c r="I267" s="646">
        <v>-8.6013566900000005E-2</v>
      </c>
      <c r="J267" s="646">
        <v>-4.5693714599999997E-2</v>
      </c>
    </row>
    <row r="268" spans="5:10" x14ac:dyDescent="0.65">
      <c r="E268" s="647"/>
      <c r="F268" s="647"/>
      <c r="G268" s="647"/>
      <c r="H268" s="647"/>
      <c r="I268" s="647"/>
      <c r="J268" s="647"/>
    </row>
    <row r="269" spans="5:10" x14ac:dyDescent="0.65">
      <c r="E269" s="647"/>
      <c r="F269" s="647"/>
      <c r="G269" s="647"/>
      <c r="H269" s="647"/>
      <c r="I269" s="647"/>
      <c r="J269" s="647"/>
    </row>
    <row r="270" spans="5:10" ht="40.299999999999997" thickBot="1" x14ac:dyDescent="0.7">
      <c r="E270" s="641" t="s">
        <v>968</v>
      </c>
      <c r="F270" s="642" t="s">
        <v>923</v>
      </c>
      <c r="G270" s="642" t="s">
        <v>924</v>
      </c>
      <c r="H270" s="642" t="s">
        <v>925</v>
      </c>
      <c r="I270" s="642" t="s">
        <v>926</v>
      </c>
      <c r="J270" s="642" t="s">
        <v>927</v>
      </c>
    </row>
    <row r="271" spans="5:10" x14ac:dyDescent="0.65">
      <c r="E271" s="643" t="s">
        <v>969</v>
      </c>
      <c r="F271" s="644">
        <v>57509.72</v>
      </c>
      <c r="G271" s="644">
        <v>137793.228</v>
      </c>
      <c r="H271" s="644">
        <v>311328.32199999999</v>
      </c>
      <c r="I271" s="644">
        <v>724603.33</v>
      </c>
      <c r="J271" s="644">
        <v>649428.97600000002</v>
      </c>
    </row>
    <row r="272" spans="5:10" x14ac:dyDescent="0.65">
      <c r="E272" s="645" t="s">
        <v>970</v>
      </c>
      <c r="F272" s="646">
        <v>31659.897000000001</v>
      </c>
      <c r="G272" s="646">
        <v>64194.720999999998</v>
      </c>
      <c r="H272" s="646">
        <v>89350.588000000003</v>
      </c>
      <c r="I272" s="646">
        <v>189164.318</v>
      </c>
      <c r="J272" s="646">
        <v>278502.01899999997</v>
      </c>
    </row>
    <row r="273" spans="5:10" x14ac:dyDescent="0.65">
      <c r="E273" s="643" t="s">
        <v>971</v>
      </c>
      <c r="F273" s="644">
        <v>7845.85</v>
      </c>
      <c r="G273" s="644">
        <v>30532.763999999999</v>
      </c>
      <c r="H273" s="644">
        <v>14880.016</v>
      </c>
      <c r="I273" s="644">
        <v>68575.388000000006</v>
      </c>
      <c r="J273" s="644">
        <v>81732.11</v>
      </c>
    </row>
    <row r="274" spans="5:10" x14ac:dyDescent="0.65">
      <c r="E274" s="645" t="s">
        <v>972</v>
      </c>
      <c r="F274" s="646">
        <v>7844.9629999999997</v>
      </c>
      <c r="G274" s="646">
        <v>31229.855</v>
      </c>
      <c r="H274" s="646">
        <v>23703.397000000001</v>
      </c>
      <c r="I274" s="646">
        <v>78717.653000000006</v>
      </c>
      <c r="J274" s="646">
        <v>98433.377999999997</v>
      </c>
    </row>
    <row r="275" spans="5:10" x14ac:dyDescent="0.65">
      <c r="E275" s="643" t="s">
        <v>973</v>
      </c>
      <c r="F275" s="644">
        <v>5483.4624175951813</v>
      </c>
      <c r="G275" s="644">
        <v>31174.259246862614</v>
      </c>
      <c r="H275" s="644">
        <v>23626.393872958291</v>
      </c>
      <c r="I275" s="644">
        <v>78158.760999999999</v>
      </c>
      <c r="J275" s="644">
        <v>97844.083059034223</v>
      </c>
    </row>
    <row r="278" spans="5:10" x14ac:dyDescent="0.65">
      <c r="E278" s="636"/>
      <c r="F278" s="636"/>
      <c r="G278" s="636"/>
      <c r="H278" s="636"/>
      <c r="I278" s="636"/>
      <c r="J278" s="636"/>
    </row>
    <row r="279" spans="5:10" x14ac:dyDescent="0.65">
      <c r="E279" s="637" t="s">
        <v>43</v>
      </c>
      <c r="F279" s="636"/>
      <c r="G279" s="636"/>
      <c r="H279" s="636"/>
      <c r="I279" s="636"/>
      <c r="J279" s="636"/>
    </row>
    <row r="280" spans="5:10" x14ac:dyDescent="0.65">
      <c r="E280" s="638" t="s">
        <v>42</v>
      </c>
      <c r="F280" s="636"/>
      <c r="G280" s="636"/>
      <c r="H280" s="636"/>
      <c r="I280" s="636"/>
      <c r="J280" s="636"/>
    </row>
    <row r="281" spans="5:10" x14ac:dyDescent="0.65">
      <c r="E281" s="636"/>
      <c r="F281" s="636"/>
      <c r="G281" s="636"/>
      <c r="H281" s="636"/>
      <c r="I281" s="636"/>
      <c r="J281" s="636"/>
    </row>
    <row r="282" spans="5:10" x14ac:dyDescent="0.65">
      <c r="E282" s="639" t="s">
        <v>829</v>
      </c>
      <c r="F282" s="639"/>
      <c r="G282" s="639"/>
      <c r="H282" s="639"/>
      <c r="I282" s="639"/>
      <c r="J282" s="639"/>
    </row>
    <row r="283" spans="5:10" x14ac:dyDescent="0.65">
      <c r="E283" s="640" t="s">
        <v>921</v>
      </c>
      <c r="F283" s="639"/>
      <c r="G283" s="639"/>
      <c r="H283" s="639"/>
      <c r="I283" s="639"/>
      <c r="J283" s="639"/>
    </row>
    <row r="284" spans="5:10" x14ac:dyDescent="0.65">
      <c r="E284" s="636"/>
      <c r="F284" s="636"/>
      <c r="G284" s="636"/>
      <c r="H284" s="636"/>
      <c r="I284" s="636"/>
      <c r="J284" s="636"/>
    </row>
    <row r="285" spans="5:10" ht="40.299999999999997" thickBot="1" x14ac:dyDescent="0.7">
      <c r="E285" s="641" t="s">
        <v>922</v>
      </c>
      <c r="F285" s="642" t="s">
        <v>923</v>
      </c>
      <c r="G285" s="642" t="s">
        <v>924</v>
      </c>
      <c r="H285" s="642" t="s">
        <v>925</v>
      </c>
      <c r="I285" s="642" t="s">
        <v>926</v>
      </c>
      <c r="J285" s="642" t="s">
        <v>927</v>
      </c>
    </row>
    <row r="286" spans="5:10" x14ac:dyDescent="0.65">
      <c r="E286" s="643" t="s">
        <v>928</v>
      </c>
      <c r="F286" s="644">
        <v>7.8415885599999999E-2</v>
      </c>
      <c r="G286" s="644">
        <v>6.4057445800000001E-2</v>
      </c>
      <c r="H286" s="644">
        <v>3.0680829199999999E-2</v>
      </c>
      <c r="I286" s="644">
        <v>0.17085493509999999</v>
      </c>
      <c r="J286" s="644">
        <v>0.15527848229999999</v>
      </c>
    </row>
    <row r="287" spans="5:10" x14ac:dyDescent="0.65">
      <c r="E287" s="645" t="s">
        <v>929</v>
      </c>
      <c r="F287" s="646">
        <v>0.139202612</v>
      </c>
      <c r="G287" s="646">
        <v>9.85405424E-2</v>
      </c>
      <c r="H287" s="646">
        <v>-0.18934095649999999</v>
      </c>
      <c r="I287" s="646">
        <v>0.26539076140000001</v>
      </c>
      <c r="J287" s="646">
        <v>7.4852097399999998E-2</v>
      </c>
    </row>
    <row r="288" spans="5:10" x14ac:dyDescent="0.65">
      <c r="E288" s="643" t="s">
        <v>930</v>
      </c>
      <c r="F288" s="644">
        <v>5.7113120400000002E-2</v>
      </c>
      <c r="G288" s="644">
        <v>5.4936463499999998E-2</v>
      </c>
      <c r="H288" s="644">
        <v>2.9342022200000002E-2</v>
      </c>
      <c r="I288" s="644">
        <v>0.17450704959999999</v>
      </c>
      <c r="J288" s="644">
        <v>0.14849171829999999</v>
      </c>
    </row>
    <row r="289" spans="5:10" x14ac:dyDescent="0.65">
      <c r="E289" s="645" t="s">
        <v>931</v>
      </c>
      <c r="F289" s="646">
        <v>0.1011362681</v>
      </c>
      <c r="G289" s="646">
        <v>8.6216215499999999E-2</v>
      </c>
      <c r="H289" s="646">
        <v>-0.17313665410000001</v>
      </c>
      <c r="I289" s="646">
        <v>0.23631728220000001</v>
      </c>
      <c r="J289" s="646">
        <v>7.0279410900000006E-2</v>
      </c>
    </row>
    <row r="290" spans="5:10" x14ac:dyDescent="0.65">
      <c r="E290" s="643" t="s">
        <v>932</v>
      </c>
      <c r="F290" s="644">
        <v>4.2294579300000003E-2</v>
      </c>
      <c r="G290" s="644">
        <v>5.3051556299999997E-2</v>
      </c>
      <c r="H290" s="644">
        <v>3.0571557199999998E-2</v>
      </c>
      <c r="I290" s="644">
        <v>0.17154550220000001</v>
      </c>
      <c r="J290" s="644">
        <v>0.14433880399999999</v>
      </c>
    </row>
    <row r="291" spans="5:10" x14ac:dyDescent="0.65">
      <c r="E291" s="645" t="s">
        <v>933</v>
      </c>
      <c r="F291" s="646">
        <v>3.5691479200000001E-2</v>
      </c>
      <c r="G291" s="646">
        <v>4.4063237999999998E-2</v>
      </c>
      <c r="H291" s="646">
        <v>2.4612263799999999E-2</v>
      </c>
      <c r="I291" s="646">
        <v>0.1475302906</v>
      </c>
      <c r="J291" s="646">
        <v>0.11815503250000001</v>
      </c>
    </row>
    <row r="292" spans="5:10" x14ac:dyDescent="0.65">
      <c r="E292" s="643" t="s">
        <v>934</v>
      </c>
      <c r="F292" s="644">
        <v>2.61527103E-2</v>
      </c>
      <c r="G292" s="644">
        <v>3.10845997E-2</v>
      </c>
      <c r="H292" s="644">
        <v>-0.13962271239999999</v>
      </c>
      <c r="I292" s="644">
        <v>0.2040930819</v>
      </c>
      <c r="J292" s="644">
        <v>5.1857214200000001E-2</v>
      </c>
    </row>
    <row r="293" spans="5:10" x14ac:dyDescent="0.65">
      <c r="E293" s="645" t="s">
        <v>935</v>
      </c>
      <c r="F293" s="646">
        <v>8.6036848599999993E-2</v>
      </c>
      <c r="G293" s="646">
        <v>0.13786019269999999</v>
      </c>
      <c r="H293" s="646">
        <v>8.2699860900000005E-2</v>
      </c>
      <c r="I293" s="646">
        <v>0.52924455140000004</v>
      </c>
      <c r="J293" s="646">
        <v>0.60692293289999999</v>
      </c>
    </row>
    <row r="294" spans="5:10" x14ac:dyDescent="0.65">
      <c r="E294" s="643" t="s">
        <v>936</v>
      </c>
      <c r="F294" s="644">
        <v>0.64147688130000002</v>
      </c>
      <c r="G294" s="644">
        <v>0.93138126799999998</v>
      </c>
      <c r="H294" s="644">
        <v>0.44067218959999999</v>
      </c>
      <c r="I294" s="644">
        <v>2.1224768076</v>
      </c>
      <c r="J294" s="644">
        <v>1.4162568467000001</v>
      </c>
    </row>
    <row r="295" spans="5:10" x14ac:dyDescent="0.65">
      <c r="E295" s="645" t="s">
        <v>937</v>
      </c>
      <c r="F295" s="646">
        <v>0.13767523810000001</v>
      </c>
      <c r="G295" s="646">
        <v>0.17187914000000001</v>
      </c>
      <c r="H295" s="646">
        <v>9.8592358899999996E-2</v>
      </c>
      <c r="I295" s="646">
        <v>0.62601995050000003</v>
      </c>
      <c r="J295" s="646">
        <v>0.7627523544</v>
      </c>
    </row>
    <row r="296" spans="5:10" x14ac:dyDescent="0.65">
      <c r="E296" s="636"/>
      <c r="F296" s="636"/>
      <c r="G296" s="636"/>
      <c r="H296" s="636"/>
      <c r="I296" s="636"/>
      <c r="J296" s="636"/>
    </row>
    <row r="297" spans="5:10" x14ac:dyDescent="0.65">
      <c r="E297" s="636"/>
      <c r="F297" s="636"/>
      <c r="G297" s="636"/>
      <c r="H297" s="636"/>
      <c r="I297" s="636"/>
      <c r="J297" s="636"/>
    </row>
    <row r="298" spans="5:10" ht="40.299999999999997" thickBot="1" x14ac:dyDescent="0.7">
      <c r="E298" s="641" t="s">
        <v>938</v>
      </c>
      <c r="F298" s="642" t="s">
        <v>923</v>
      </c>
      <c r="G298" s="642" t="s">
        <v>924</v>
      </c>
      <c r="H298" s="642" t="s">
        <v>925</v>
      </c>
      <c r="I298" s="642" t="s">
        <v>926</v>
      </c>
      <c r="J298" s="642" t="s">
        <v>927</v>
      </c>
    </row>
    <row r="299" spans="5:10" x14ac:dyDescent="0.65">
      <c r="E299" s="643" t="s">
        <v>939</v>
      </c>
      <c r="F299" s="644">
        <v>2.4105711122</v>
      </c>
      <c r="G299" s="644">
        <v>3.1286895628</v>
      </c>
      <c r="H299" s="644">
        <v>3.3601078488999998</v>
      </c>
      <c r="I299" s="644">
        <v>3.5873619540999999</v>
      </c>
      <c r="J299" s="644">
        <v>5.1366659575</v>
      </c>
    </row>
    <row r="300" spans="5:10" x14ac:dyDescent="0.65">
      <c r="E300" s="645" t="s">
        <v>940</v>
      </c>
      <c r="F300" s="646">
        <v>4.6311387712999998</v>
      </c>
      <c r="G300" s="646">
        <v>7.1736808557999998</v>
      </c>
      <c r="H300" s="646">
        <v>10.8146349008</v>
      </c>
      <c r="I300" s="646">
        <v>13.684235060000001</v>
      </c>
      <c r="J300" s="646">
        <v>29.3726388344</v>
      </c>
    </row>
    <row r="301" spans="5:10" x14ac:dyDescent="0.65">
      <c r="E301" s="643" t="s">
        <v>941</v>
      </c>
      <c r="F301" s="644">
        <v>9.5829850096999998</v>
      </c>
      <c r="G301" s="644">
        <v>8.5498363344000001</v>
      </c>
      <c r="H301" s="644">
        <v>6.2142228293999997</v>
      </c>
      <c r="I301" s="644">
        <v>5.3965080817000004</v>
      </c>
      <c r="J301" s="644">
        <v>7.0803275218000001</v>
      </c>
    </row>
    <row r="302" spans="5:10" x14ac:dyDescent="0.65">
      <c r="E302" s="645" t="s">
        <v>942</v>
      </c>
      <c r="F302" s="646">
        <v>38.088340911800003</v>
      </c>
      <c r="G302" s="646">
        <v>42.690875675999997</v>
      </c>
      <c r="H302" s="646">
        <v>58.736226559499997</v>
      </c>
      <c r="I302" s="646">
        <v>67.636329728999996</v>
      </c>
      <c r="J302" s="646">
        <v>51.551287546600001</v>
      </c>
    </row>
    <row r="303" spans="5:10" x14ac:dyDescent="0.65">
      <c r="E303" s="643" t="s">
        <v>943</v>
      </c>
      <c r="F303" s="644">
        <v>30.486067646599999</v>
      </c>
      <c r="G303" s="644">
        <v>81.961319889699993</v>
      </c>
      <c r="H303" s="644">
        <v>43.948753545000002</v>
      </c>
      <c r="I303" s="644">
        <v>34.847374736699997</v>
      </c>
      <c r="J303" s="644">
        <v>35.584101865299999</v>
      </c>
    </row>
    <row r="304" spans="5:10" x14ac:dyDescent="0.65">
      <c r="E304" s="645" t="s">
        <v>944</v>
      </c>
      <c r="F304" s="646">
        <v>11.972682217699999</v>
      </c>
      <c r="G304" s="646">
        <v>5.8267465421000004</v>
      </c>
      <c r="H304" s="646">
        <v>8.3051274622999998</v>
      </c>
      <c r="I304" s="646">
        <v>10.474246704600001</v>
      </c>
      <c r="J304" s="646">
        <v>10.257389701199999</v>
      </c>
    </row>
    <row r="305" spans="5:10" x14ac:dyDescent="0.65">
      <c r="E305" s="636"/>
      <c r="F305" s="636"/>
      <c r="G305" s="636"/>
      <c r="H305" s="636"/>
      <c r="I305" s="636"/>
      <c r="J305" s="636"/>
    </row>
    <row r="306" spans="5:10" x14ac:dyDescent="0.65">
      <c r="E306" s="636"/>
      <c r="F306" s="636"/>
      <c r="G306" s="636"/>
      <c r="H306" s="636"/>
      <c r="I306" s="636"/>
      <c r="J306" s="636"/>
    </row>
    <row r="307" spans="5:10" ht="40.299999999999997" thickBot="1" x14ac:dyDescent="0.7">
      <c r="E307" s="641" t="s">
        <v>945</v>
      </c>
      <c r="F307" s="642" t="s">
        <v>923</v>
      </c>
      <c r="G307" s="642" t="s">
        <v>924</v>
      </c>
      <c r="H307" s="642" t="s">
        <v>925</v>
      </c>
      <c r="I307" s="642" t="s">
        <v>926</v>
      </c>
      <c r="J307" s="642" t="s">
        <v>927</v>
      </c>
    </row>
    <row r="308" spans="5:10" x14ac:dyDescent="0.65">
      <c r="E308" s="643" t="s">
        <v>946</v>
      </c>
      <c r="F308" s="644">
        <v>0.84463678639999995</v>
      </c>
      <c r="G308" s="644">
        <v>0.83309504670000001</v>
      </c>
      <c r="H308" s="644">
        <v>0.8375672918</v>
      </c>
      <c r="I308" s="644">
        <v>0.51449607070000003</v>
      </c>
      <c r="J308" s="644">
        <v>0.5503878391</v>
      </c>
    </row>
    <row r="309" spans="5:10" x14ac:dyDescent="0.65">
      <c r="E309" s="645" t="s">
        <v>947</v>
      </c>
      <c r="F309" s="646">
        <v>5.4365300968000003</v>
      </c>
      <c r="G309" s="646">
        <v>4.9914339266000001</v>
      </c>
      <c r="H309" s="646">
        <v>5.1563955369999999</v>
      </c>
      <c r="I309" s="646">
        <v>1.0597155647000001</v>
      </c>
      <c r="J309" s="646">
        <v>1.2241391291999999</v>
      </c>
    </row>
    <row r="310" spans="5:10" x14ac:dyDescent="0.65">
      <c r="E310" s="643" t="s">
        <v>948</v>
      </c>
      <c r="F310" s="644">
        <v>8.44460925E-2</v>
      </c>
      <c r="G310" s="644">
        <v>8.2613703699999999E-2</v>
      </c>
      <c r="H310" s="644">
        <v>5.7744106400000002E-2</v>
      </c>
      <c r="I310" s="644">
        <v>9.3260661100000003E-2</v>
      </c>
      <c r="J310" s="644">
        <v>0.1036852229</v>
      </c>
    </row>
    <row r="311" spans="5:10" x14ac:dyDescent="0.65">
      <c r="E311" s="645" t="s">
        <v>949</v>
      </c>
      <c r="F311" s="646">
        <v>0.54353981569999998</v>
      </c>
      <c r="G311" s="646">
        <v>0.49497454730000001</v>
      </c>
      <c r="H311" s="646">
        <v>0.35549555869999999</v>
      </c>
      <c r="I311" s="646">
        <v>0.1920904353</v>
      </c>
      <c r="J311" s="646">
        <v>0.23061036139999999</v>
      </c>
    </row>
    <row r="312" spans="5:10" x14ac:dyDescent="0.65">
      <c r="E312" s="643" t="s">
        <v>950</v>
      </c>
      <c r="F312" s="644">
        <v>0</v>
      </c>
      <c r="G312" s="644">
        <v>0</v>
      </c>
      <c r="H312" s="644">
        <v>0</v>
      </c>
      <c r="I312" s="644">
        <v>0</v>
      </c>
      <c r="J312" s="644">
        <v>0</v>
      </c>
    </row>
    <row r="313" spans="5:10" x14ac:dyDescent="0.65">
      <c r="E313" s="645" t="s">
        <v>951</v>
      </c>
      <c r="F313" s="646">
        <v>8.2864776599999995E-2</v>
      </c>
      <c r="G313" s="646">
        <v>0.1216579803</v>
      </c>
      <c r="H313" s="646">
        <v>0.1244027181</v>
      </c>
      <c r="I313" s="646">
        <v>0.46193043719999999</v>
      </c>
      <c r="J313" s="646">
        <v>0.43109861449999998</v>
      </c>
    </row>
    <row r="314" spans="5:10" x14ac:dyDescent="0.65">
      <c r="E314" s="643" t="s">
        <v>952</v>
      </c>
      <c r="F314" s="644">
        <v>7.0391821228999998</v>
      </c>
      <c r="G314" s="644">
        <v>11.831866720900001</v>
      </c>
      <c r="H314" s="644">
        <v>7.1877723503000004</v>
      </c>
      <c r="I314" s="644">
        <v>50.203961406300003</v>
      </c>
      <c r="J314" s="644">
        <v>39.704036205000001</v>
      </c>
    </row>
    <row r="315" spans="5:10" x14ac:dyDescent="0.65">
      <c r="E315" s="636"/>
      <c r="F315" s="636"/>
      <c r="G315" s="636"/>
      <c r="H315" s="636"/>
      <c r="I315" s="636"/>
      <c r="J315" s="636"/>
    </row>
    <row r="316" spans="5:10" x14ac:dyDescent="0.65">
      <c r="E316" s="636"/>
      <c r="F316" s="636"/>
      <c r="G316" s="636"/>
      <c r="H316" s="636"/>
      <c r="I316" s="636"/>
      <c r="J316" s="636"/>
    </row>
    <row r="317" spans="5:10" ht="40.299999999999997" thickBot="1" x14ac:dyDescent="0.7">
      <c r="E317" s="641" t="s">
        <v>953</v>
      </c>
      <c r="F317" s="642" t="s">
        <v>923</v>
      </c>
      <c r="G317" s="642" t="s">
        <v>924</v>
      </c>
      <c r="H317" s="642" t="s">
        <v>925</v>
      </c>
      <c r="I317" s="642" t="s">
        <v>926</v>
      </c>
      <c r="J317" s="642" t="s">
        <v>927</v>
      </c>
    </row>
    <row r="318" spans="5:10" x14ac:dyDescent="0.65">
      <c r="E318" s="643" t="s">
        <v>954</v>
      </c>
      <c r="F318" s="644">
        <v>0.60245138450000002</v>
      </c>
      <c r="G318" s="644">
        <v>0.75869239479999995</v>
      </c>
      <c r="H318" s="644">
        <v>0.82597244780000001</v>
      </c>
      <c r="I318" s="644">
        <v>1.5468926101</v>
      </c>
      <c r="J318" s="644">
        <v>1.6010277712000001</v>
      </c>
    </row>
    <row r="319" spans="5:10" x14ac:dyDescent="0.65">
      <c r="E319" s="645" t="s">
        <v>955</v>
      </c>
      <c r="F319" s="646">
        <v>0.31272456879999999</v>
      </c>
      <c r="G319" s="646">
        <v>0.15608488100000001</v>
      </c>
      <c r="H319" s="646">
        <v>0.2175494271</v>
      </c>
      <c r="I319" s="646">
        <v>0.31379281910000001</v>
      </c>
      <c r="J319" s="646">
        <v>0.47743192480000002</v>
      </c>
    </row>
    <row r="320" spans="5:10" x14ac:dyDescent="0.65">
      <c r="E320" s="643" t="s">
        <v>956</v>
      </c>
      <c r="F320" s="644">
        <v>0.15289870729999999</v>
      </c>
      <c r="G320" s="644">
        <v>6.0543976300000003E-2</v>
      </c>
      <c r="H320" s="644">
        <v>9.9855997799999999E-2</v>
      </c>
      <c r="I320" s="644">
        <v>5.5537494299999997E-2</v>
      </c>
      <c r="J320" s="644">
        <v>0.1211596705</v>
      </c>
    </row>
    <row r="321" spans="5:10" x14ac:dyDescent="0.65">
      <c r="E321" s="636"/>
      <c r="F321" s="636"/>
      <c r="G321" s="636"/>
      <c r="H321" s="636"/>
      <c r="I321" s="636"/>
      <c r="J321" s="636"/>
    </row>
    <row r="322" spans="5:10" x14ac:dyDescent="0.65">
      <c r="E322" s="636"/>
      <c r="F322" s="636"/>
      <c r="G322" s="636"/>
      <c r="H322" s="636"/>
      <c r="I322" s="636"/>
      <c r="J322" s="636"/>
    </row>
    <row r="323" spans="5:10" ht="40.299999999999997" thickBot="1" x14ac:dyDescent="0.7">
      <c r="E323" s="641" t="s">
        <v>957</v>
      </c>
      <c r="F323" s="642" t="s">
        <v>923</v>
      </c>
      <c r="G323" s="642" t="s">
        <v>924</v>
      </c>
      <c r="H323" s="642" t="s">
        <v>925</v>
      </c>
      <c r="I323" s="642" t="s">
        <v>926</v>
      </c>
      <c r="J323" s="642" t="s">
        <v>927</v>
      </c>
    </row>
    <row r="324" spans="5:10" x14ac:dyDescent="0.65">
      <c r="E324" s="643" t="s">
        <v>958</v>
      </c>
      <c r="F324" s="644">
        <v>5.6868843199999998E-2</v>
      </c>
      <c r="G324" s="644">
        <v>-1.2326379000000001E-3</v>
      </c>
      <c r="H324" s="644">
        <v>2.6614993100000001E-2</v>
      </c>
      <c r="I324" s="644">
        <v>-4.5521850999999999E-3</v>
      </c>
      <c r="J324" s="644">
        <v>2.1548014099999999E-2</v>
      </c>
    </row>
    <row r="325" spans="5:10" x14ac:dyDescent="0.65">
      <c r="E325" s="645" t="s">
        <v>959</v>
      </c>
      <c r="F325" s="646">
        <v>1.5933450947000001</v>
      </c>
      <c r="G325" s="646">
        <v>-2.7974291700000001E-2</v>
      </c>
      <c r="H325" s="646">
        <v>1.0813711947</v>
      </c>
      <c r="I325" s="646">
        <v>-3.0855935500000001E-2</v>
      </c>
      <c r="J325" s="646">
        <v>0.1823706839</v>
      </c>
    </row>
    <row r="326" spans="5:10" x14ac:dyDescent="0.65">
      <c r="E326" s="643" t="s">
        <v>960</v>
      </c>
      <c r="F326" s="644">
        <v>2.06149778E-2</v>
      </c>
      <c r="G326" s="644">
        <v>1.2156672E-3</v>
      </c>
      <c r="H326" s="644">
        <v>1.9586595700000001E-2</v>
      </c>
      <c r="I326" s="644">
        <v>1.09075175E-2</v>
      </c>
      <c r="J326" s="644">
        <v>2.9929324399999999E-2</v>
      </c>
    </row>
    <row r="327" spans="5:10" x14ac:dyDescent="0.65">
      <c r="E327" s="645" t="s">
        <v>961</v>
      </c>
      <c r="F327" s="646">
        <v>0.57758821599999999</v>
      </c>
      <c r="G327" s="646">
        <v>2.75891479E-2</v>
      </c>
      <c r="H327" s="646">
        <v>0.79580634530000005</v>
      </c>
      <c r="I327" s="646">
        <v>7.3934088199999998E-2</v>
      </c>
      <c r="J327" s="646">
        <v>0.25330554090000001</v>
      </c>
    </row>
    <row r="328" spans="5:10" x14ac:dyDescent="0.65">
      <c r="E328" s="643" t="s">
        <v>962</v>
      </c>
      <c r="F328" s="644">
        <v>1.3541982899999999E-2</v>
      </c>
      <c r="G328" s="644">
        <v>3.4632507700000002E-2</v>
      </c>
      <c r="H328" s="644">
        <v>8.0225059000000008E-3</v>
      </c>
      <c r="I328" s="644">
        <v>9.0432473999999992E-3</v>
      </c>
      <c r="J328" s="644">
        <v>5.4932395000000002E-3</v>
      </c>
    </row>
    <row r="329" spans="5:10" x14ac:dyDescent="0.65">
      <c r="E329" s="645" t="s">
        <v>963</v>
      </c>
      <c r="F329" s="646">
        <v>0.37941781140000003</v>
      </c>
      <c r="G329" s="646">
        <v>0.78597282719999995</v>
      </c>
      <c r="H329" s="646">
        <v>0.32595562769999997</v>
      </c>
      <c r="I329" s="646">
        <v>6.1297563700000002E-2</v>
      </c>
      <c r="J329" s="646">
        <v>4.6491794199999999E-2</v>
      </c>
    </row>
    <row r="330" spans="5:10" x14ac:dyDescent="0.65">
      <c r="E330" s="643" t="s">
        <v>964</v>
      </c>
      <c r="F330" s="644">
        <v>5.7668475800000001E-2</v>
      </c>
      <c r="G330" s="644">
        <v>2.7945103799999999E-2</v>
      </c>
      <c r="H330" s="644">
        <v>3.29753562E-2</v>
      </c>
      <c r="I330" s="644">
        <v>3.7211065999999998E-3</v>
      </c>
      <c r="J330" s="644">
        <v>2.6238652500000001E-2</v>
      </c>
    </row>
    <row r="331" spans="5:10" x14ac:dyDescent="0.65">
      <c r="E331" s="645" t="s">
        <v>965</v>
      </c>
      <c r="F331" s="646">
        <v>0.16054702109999999</v>
      </c>
      <c r="G331" s="646">
        <v>0.1026212341</v>
      </c>
      <c r="H331" s="646">
        <v>0.13639828179999999</v>
      </c>
      <c r="I331" s="646">
        <v>1.77832515E-2</v>
      </c>
      <c r="J331" s="646">
        <v>0.2358506809</v>
      </c>
    </row>
    <row r="332" spans="5:10" x14ac:dyDescent="0.65">
      <c r="E332" s="643" t="s">
        <v>966</v>
      </c>
      <c r="F332" s="644">
        <v>-3.5733880400000001E-2</v>
      </c>
      <c r="G332" s="644">
        <v>-1.3768510499999999E-2</v>
      </c>
      <c r="H332" s="644">
        <v>-3.6469688200000003E-2</v>
      </c>
      <c r="I332" s="644">
        <v>-7.1019628000000001E-3</v>
      </c>
      <c r="J332" s="644">
        <v>-1.6352569099999999E-2</v>
      </c>
    </row>
    <row r="333" spans="5:10" x14ac:dyDescent="0.65">
      <c r="E333" s="645" t="s">
        <v>967</v>
      </c>
      <c r="F333" s="646">
        <v>-5.8988654000000001E-2</v>
      </c>
      <c r="G333" s="646">
        <v>-6.1243963000000004E-3</v>
      </c>
      <c r="H333" s="646">
        <v>-9.8616534999999995E-3</v>
      </c>
      <c r="I333" s="646">
        <v>-4.3476069999999999E-3</v>
      </c>
      <c r="J333" s="646">
        <v>-4.7881332E-3</v>
      </c>
    </row>
    <row r="334" spans="5:10" x14ac:dyDescent="0.65">
      <c r="E334" s="647"/>
      <c r="F334" s="647"/>
      <c r="G334" s="647"/>
      <c r="H334" s="647"/>
      <c r="I334" s="647"/>
      <c r="J334" s="647"/>
    </row>
    <row r="335" spans="5:10" x14ac:dyDescent="0.65">
      <c r="E335" s="647"/>
      <c r="F335" s="647"/>
      <c r="G335" s="647"/>
      <c r="H335" s="647"/>
      <c r="I335" s="647"/>
      <c r="J335" s="647"/>
    </row>
    <row r="336" spans="5:10" ht="40.299999999999997" thickBot="1" x14ac:dyDescent="0.7">
      <c r="E336" s="641" t="s">
        <v>968</v>
      </c>
      <c r="F336" s="642" t="s">
        <v>923</v>
      </c>
      <c r="G336" s="642" t="s">
        <v>924</v>
      </c>
      <c r="H336" s="642" t="s">
        <v>925</v>
      </c>
      <c r="I336" s="642" t="s">
        <v>926</v>
      </c>
      <c r="J336" s="642" t="s">
        <v>927</v>
      </c>
    </row>
    <row r="337" spans="5:10" x14ac:dyDescent="0.65">
      <c r="E337" s="643" t="s">
        <v>969</v>
      </c>
      <c r="F337" s="644">
        <v>14465.99474</v>
      </c>
      <c r="G337" s="644">
        <v>22981.658350400001</v>
      </c>
      <c r="H337" s="644">
        <v>58112.754939999999</v>
      </c>
      <c r="I337" s="644">
        <v>109941.73054800001</v>
      </c>
      <c r="J337" s="644">
        <v>140548.82323519999</v>
      </c>
    </row>
    <row r="338" spans="5:10" x14ac:dyDescent="0.65">
      <c r="E338" s="645" t="s">
        <v>970</v>
      </c>
      <c r="F338" s="646">
        <v>2695.3719999999998</v>
      </c>
      <c r="G338" s="646">
        <v>4639.5820000000003</v>
      </c>
      <c r="H338" s="646">
        <v>5372.1289999999999</v>
      </c>
      <c r="I338" s="646">
        <v>23276.578000000001</v>
      </c>
      <c r="J338" s="646">
        <v>30291.449000000001</v>
      </c>
    </row>
    <row r="339" spans="5:10" x14ac:dyDescent="0.65">
      <c r="E339" s="643" t="s">
        <v>971</v>
      </c>
      <c r="F339" s="644">
        <v>2271.3069999999998</v>
      </c>
      <c r="G339" s="644">
        <v>1921.932</v>
      </c>
      <c r="H339" s="644">
        <v>3738.9690000000001</v>
      </c>
      <c r="I339" s="644">
        <v>518.26400000000001</v>
      </c>
      <c r="J339" s="644">
        <v>7614.7240000000002</v>
      </c>
    </row>
    <row r="340" spans="5:10" x14ac:dyDescent="0.65">
      <c r="E340" s="645" t="s">
        <v>972</v>
      </c>
      <c r="F340" s="646">
        <v>2239.8130000000001</v>
      </c>
      <c r="G340" s="646">
        <v>-84.775000000000006</v>
      </c>
      <c r="H340" s="646">
        <v>3017.788</v>
      </c>
      <c r="I340" s="646">
        <v>-634.01400000000001</v>
      </c>
      <c r="J340" s="646">
        <v>6253.4530000000004</v>
      </c>
    </row>
    <row r="341" spans="5:10" x14ac:dyDescent="0.65">
      <c r="E341" s="643" t="s">
        <v>973</v>
      </c>
      <c r="F341" s="644">
        <v>811.93308291706614</v>
      </c>
      <c r="G341" s="644">
        <v>83.607836655351932</v>
      </c>
      <c r="H341" s="644">
        <v>2220.8607468778941</v>
      </c>
      <c r="I341" s="644">
        <v>1519.1646700179813</v>
      </c>
      <c r="J341" s="644">
        <v>8685.7945641247898</v>
      </c>
    </row>
  </sheetData>
  <mergeCells count="5">
    <mergeCell ref="O4:T4"/>
    <mergeCell ref="O11:T11"/>
    <mergeCell ref="O18:T18"/>
    <mergeCell ref="O25:T25"/>
    <mergeCell ref="O32:T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3:T51"/>
  <sheetViews>
    <sheetView zoomScale="40" zoomScaleNormal="40" workbookViewId="0">
      <selection activeCell="N20" sqref="N20"/>
    </sheetView>
  </sheetViews>
  <sheetFormatPr defaultRowHeight="21.5" x14ac:dyDescent="0.7"/>
  <cols>
    <col min="1" max="8" width="8.7265625" style="649"/>
    <col min="9" max="9" width="26.453125" style="649" customWidth="1"/>
    <col min="10" max="10" width="15.6328125" style="649" bestFit="1" customWidth="1"/>
    <col min="11" max="11" width="21.81640625" style="649" customWidth="1"/>
    <col min="12" max="12" width="16.453125" style="649" bestFit="1" customWidth="1"/>
    <col min="13" max="13" width="17" style="649" bestFit="1" customWidth="1"/>
    <col min="14" max="15" width="16.453125" style="649" bestFit="1" customWidth="1"/>
    <col min="16" max="16" width="29.81640625" style="649" bestFit="1" customWidth="1"/>
    <col min="17" max="17" width="16.453125" style="649" bestFit="1" customWidth="1"/>
    <col min="18" max="18" width="16.7265625" style="649" bestFit="1" customWidth="1"/>
    <col min="19" max="19" width="16.90625" style="649" bestFit="1" customWidth="1"/>
    <col min="20" max="20" width="16.7265625" style="649" bestFit="1" customWidth="1"/>
    <col min="21" max="16384" width="8.7265625" style="649"/>
  </cols>
  <sheetData>
    <row r="3" spans="9:20" x14ac:dyDescent="0.7">
      <c r="I3" s="648" t="s">
        <v>798</v>
      </c>
      <c r="J3" s="648"/>
      <c r="K3" s="648"/>
      <c r="L3" s="648"/>
      <c r="M3" s="648"/>
      <c r="N3" s="648"/>
      <c r="O3" s="648"/>
      <c r="P3" s="648"/>
      <c r="Q3" s="648"/>
    </row>
    <row r="4" spans="9:20" x14ac:dyDescent="0.7">
      <c r="I4" s="650" t="s">
        <v>682</v>
      </c>
      <c r="J4" s="650" t="s">
        <v>58</v>
      </c>
      <c r="K4" s="650" t="s">
        <v>974</v>
      </c>
      <c r="L4" s="650" t="s">
        <v>19</v>
      </c>
      <c r="M4" s="650" t="s">
        <v>975</v>
      </c>
      <c r="N4" s="650" t="s">
        <v>976</v>
      </c>
      <c r="O4" s="650" t="s">
        <v>977</v>
      </c>
      <c r="P4" s="650" t="s">
        <v>978</v>
      </c>
      <c r="Q4" s="650" t="s">
        <v>979</v>
      </c>
    </row>
    <row r="5" spans="9:20" x14ac:dyDescent="0.7">
      <c r="I5" s="650">
        <v>1395</v>
      </c>
      <c r="J5" s="651">
        <v>-299440</v>
      </c>
      <c r="K5" s="651">
        <v>-2301611</v>
      </c>
      <c r="L5" s="650" t="s">
        <v>23</v>
      </c>
      <c r="M5" s="651" t="s">
        <v>23</v>
      </c>
      <c r="N5" s="651" t="s">
        <v>23</v>
      </c>
      <c r="O5" s="651">
        <v>-2489726</v>
      </c>
      <c r="P5" s="652"/>
      <c r="Q5" s="652">
        <v>164211304</v>
      </c>
    </row>
    <row r="6" spans="9:20" x14ac:dyDescent="0.7">
      <c r="I6" s="650">
        <v>1396</v>
      </c>
      <c r="J6" s="651">
        <v>-156882</v>
      </c>
      <c r="K6" s="651">
        <v>-5541323</v>
      </c>
      <c r="L6" s="651">
        <f>-J24</f>
        <v>-199721637</v>
      </c>
      <c r="M6" s="651">
        <v>-302105</v>
      </c>
      <c r="N6" s="651">
        <v>-4440230</v>
      </c>
      <c r="O6" s="651">
        <v>-2998753</v>
      </c>
      <c r="P6" s="652">
        <f>J6+K6+L6+M6+N6+O6</f>
        <v>-213160930</v>
      </c>
      <c r="Q6" s="652">
        <v>222311389</v>
      </c>
    </row>
    <row r="7" spans="9:20" x14ac:dyDescent="0.7">
      <c r="I7" s="650">
        <v>1397</v>
      </c>
      <c r="J7" s="651">
        <v>-199739</v>
      </c>
      <c r="K7" s="651">
        <v>-4162045</v>
      </c>
      <c r="L7" s="651">
        <v>-430463375</v>
      </c>
      <c r="M7" s="651">
        <v>-318275</v>
      </c>
      <c r="N7" s="651">
        <v>-5623146</v>
      </c>
      <c r="O7" s="651">
        <v>-8284094</v>
      </c>
      <c r="P7" s="652">
        <f>J7+K7+L7+M7+N7+O7</f>
        <v>-449050674</v>
      </c>
      <c r="Q7" s="652">
        <v>453226514</v>
      </c>
    </row>
    <row r="8" spans="9:20" x14ac:dyDescent="0.7">
      <c r="I8" s="650">
        <v>1398</v>
      </c>
      <c r="J8" s="651">
        <v>-196008</v>
      </c>
      <c r="K8" s="651">
        <v>-5630940</v>
      </c>
      <c r="L8" s="651">
        <v>-687129085</v>
      </c>
      <c r="M8" s="651">
        <v>-739321</v>
      </c>
      <c r="N8" s="651">
        <v>-7796914</v>
      </c>
      <c r="O8" s="651">
        <v>-6166609</v>
      </c>
      <c r="P8" s="652">
        <f>J8+K8+L8+M8+N8+O8</f>
        <v>-707658877</v>
      </c>
      <c r="Q8" s="652">
        <v>720189020</v>
      </c>
    </row>
    <row r="9" spans="9:20" x14ac:dyDescent="0.7">
      <c r="I9" s="650">
        <v>1399</v>
      </c>
      <c r="J9" s="651">
        <v>-4453702</v>
      </c>
      <c r="K9" s="651">
        <v>-10855988</v>
      </c>
      <c r="L9" s="651">
        <v>-759175124</v>
      </c>
      <c r="M9" s="651">
        <v>-1264170</v>
      </c>
      <c r="N9" s="651">
        <v>-10749149</v>
      </c>
      <c r="O9" s="651">
        <v>-23487472</v>
      </c>
      <c r="P9" s="652">
        <f>J9+K9+L9+M9+N9+O9</f>
        <v>-809985605</v>
      </c>
      <c r="Q9" s="652">
        <v>894983110</v>
      </c>
    </row>
    <row r="11" spans="9:20" x14ac:dyDescent="0.7">
      <c r="I11" s="653"/>
      <c r="J11" s="653"/>
      <c r="K11" s="653"/>
      <c r="L11" s="653"/>
      <c r="M11" s="653"/>
      <c r="N11" s="653"/>
      <c r="O11" s="653"/>
      <c r="P11" s="653"/>
      <c r="Q11" s="654"/>
    </row>
    <row r="12" spans="9:20" x14ac:dyDescent="0.7">
      <c r="I12" s="655"/>
      <c r="J12" s="656"/>
      <c r="K12" s="656"/>
      <c r="L12" s="656"/>
      <c r="M12" s="656"/>
      <c r="N12" s="656"/>
      <c r="O12" s="656"/>
      <c r="P12" s="656"/>
      <c r="Q12" s="657"/>
    </row>
    <row r="13" spans="9:20" x14ac:dyDescent="0.7">
      <c r="I13" s="650" t="s">
        <v>682</v>
      </c>
      <c r="J13" s="650">
        <v>1396</v>
      </c>
      <c r="K13" s="650">
        <v>1397</v>
      </c>
      <c r="L13" s="650">
        <v>1398</v>
      </c>
      <c r="M13" s="650">
        <v>1399</v>
      </c>
      <c r="N13" s="656"/>
      <c r="O13" s="656"/>
      <c r="P13" s="657"/>
    </row>
    <row r="14" spans="9:20" x14ac:dyDescent="0.7">
      <c r="I14" s="650" t="s">
        <v>58</v>
      </c>
      <c r="J14" s="658">
        <f>J6/P6</f>
        <v>7.3597914964998511E-4</v>
      </c>
      <c r="K14" s="658">
        <f>J7/P7</f>
        <v>4.4480280637547822E-4</v>
      </c>
      <c r="L14" s="658">
        <f>J8/P8</f>
        <v>2.7698091039420395E-4</v>
      </c>
      <c r="M14" s="658">
        <f>J9/P9</f>
        <v>5.4984952479494994E-3</v>
      </c>
      <c r="N14" s="656"/>
      <c r="O14" s="656"/>
      <c r="P14" s="657"/>
    </row>
    <row r="15" spans="9:20" x14ac:dyDescent="0.7">
      <c r="I15" s="650" t="s">
        <v>974</v>
      </c>
      <c r="J15" s="658">
        <f>K6/P6</f>
        <v>2.599595995382456E-2</v>
      </c>
      <c r="K15" s="658">
        <f>K7/P7</f>
        <v>9.2685419285218583E-3</v>
      </c>
      <c r="L15" s="658">
        <f>K8/P8</f>
        <v>7.9571389309372013E-3</v>
      </c>
      <c r="M15" s="658">
        <f>K9/P9</f>
        <v>1.3402692508344022E-2</v>
      </c>
      <c r="N15" s="656"/>
      <c r="O15" s="656"/>
      <c r="P15" s="648" t="s">
        <v>914</v>
      </c>
      <c r="Q15" s="648"/>
      <c r="R15" s="648"/>
      <c r="S15" s="648"/>
      <c r="T15" s="648"/>
    </row>
    <row r="16" spans="9:20" x14ac:dyDescent="0.7">
      <c r="I16" s="650" t="s">
        <v>975</v>
      </c>
      <c r="J16" s="658">
        <f>M6/P6</f>
        <v>1.4172625349307679E-3</v>
      </c>
      <c r="K16" s="658">
        <f>M7/P7</f>
        <v>7.0877301478006465E-4</v>
      </c>
      <c r="L16" s="658">
        <f>M8/P8</f>
        <v>1.0447420699846602E-3</v>
      </c>
      <c r="M16" s="658">
        <f>M9/P9</f>
        <v>1.5607314404062773E-3</v>
      </c>
      <c r="N16" s="657"/>
      <c r="O16" s="657"/>
      <c r="P16" s="650" t="s">
        <v>682</v>
      </c>
      <c r="Q16" s="650">
        <v>1396</v>
      </c>
      <c r="R16" s="650">
        <v>1397</v>
      </c>
      <c r="S16" s="650">
        <v>1398</v>
      </c>
      <c r="T16" s="650">
        <v>1399</v>
      </c>
    </row>
    <row r="17" spans="9:20" x14ac:dyDescent="0.7">
      <c r="I17" s="650" t="s">
        <v>976</v>
      </c>
      <c r="J17" s="658">
        <f>N6/P6</f>
        <v>2.0830412027194666E-2</v>
      </c>
      <c r="K17" s="658">
        <f>N7/P7</f>
        <v>1.2522297205147942E-2</v>
      </c>
      <c r="L17" s="658">
        <f>N8/P8</f>
        <v>1.1017898953029031E-2</v>
      </c>
      <c r="M17" s="658">
        <f>N9/P9</f>
        <v>1.3270790164227672E-2</v>
      </c>
      <c r="P17" s="650" t="s">
        <v>980</v>
      </c>
      <c r="Q17" s="651">
        <f t="shared" ref="Q17:T18" si="0">AVERAGE(J23,J31,J37,J43,J49)</f>
        <v>154857567.19999999</v>
      </c>
      <c r="R17" s="651">
        <f t="shared" si="0"/>
        <v>309376557.19999999</v>
      </c>
      <c r="S17" s="651">
        <f t="shared" si="0"/>
        <v>503950998.60000002</v>
      </c>
      <c r="T17" s="651">
        <f t="shared" si="0"/>
        <v>645099581.79999995</v>
      </c>
    </row>
    <row r="18" spans="9:20" x14ac:dyDescent="0.7">
      <c r="I18" s="650" t="s">
        <v>977</v>
      </c>
      <c r="J18" s="658">
        <f>O6/P6</f>
        <v>1.406802362890798E-2</v>
      </c>
      <c r="K18" s="658">
        <f>O7/P7</f>
        <v>1.8448015958216778E-2</v>
      </c>
      <c r="L18" s="658">
        <f>O8/P8</f>
        <v>8.7140982759126746E-3</v>
      </c>
      <c r="M18" s="658">
        <f>O9/P9</f>
        <v>2.8997394342582174E-2</v>
      </c>
      <c r="P18" s="650" t="s">
        <v>981</v>
      </c>
      <c r="Q18" s="651">
        <f t="shared" si="0"/>
        <v>137996965.40000001</v>
      </c>
      <c r="R18" s="651">
        <f t="shared" si="0"/>
        <v>289067064.39999998</v>
      </c>
      <c r="S18" s="651">
        <f t="shared" si="0"/>
        <v>477595855</v>
      </c>
      <c r="T18" s="651">
        <f t="shared" si="0"/>
        <v>555571256.79999995</v>
      </c>
    </row>
    <row r="19" spans="9:20" x14ac:dyDescent="0.7">
      <c r="I19" s="650" t="s">
        <v>19</v>
      </c>
      <c r="J19" s="658">
        <f>L6/P6</f>
        <v>0.93695236270549209</v>
      </c>
      <c r="K19" s="658">
        <f>L7/P7</f>
        <v>0.95860756908695788</v>
      </c>
      <c r="L19" s="658">
        <f>L8/P8</f>
        <v>0.97098914085974219</v>
      </c>
      <c r="M19" s="658">
        <f>L9/P9</f>
        <v>0.93726989629649038</v>
      </c>
      <c r="P19" s="650" t="s">
        <v>982</v>
      </c>
      <c r="Q19" s="659">
        <f>Q18/Q17</f>
        <v>0.89112187344242366</v>
      </c>
      <c r="R19" s="659">
        <f>R18/R17</f>
        <v>0.93435348500930304</v>
      </c>
      <c r="S19" s="659">
        <f>S18/S17</f>
        <v>0.94770296383335706</v>
      </c>
      <c r="T19" s="659">
        <f>T18/T17</f>
        <v>0.86121782198309282</v>
      </c>
    </row>
    <row r="22" spans="9:20" x14ac:dyDescent="0.7">
      <c r="I22" s="650" t="s">
        <v>682</v>
      </c>
      <c r="J22" s="650">
        <v>1396</v>
      </c>
      <c r="K22" s="650">
        <v>1397</v>
      </c>
      <c r="L22" s="650">
        <v>1398</v>
      </c>
      <c r="M22" s="650">
        <v>1399</v>
      </c>
      <c r="N22" s="653"/>
    </row>
    <row r="23" spans="9:20" x14ac:dyDescent="0.7">
      <c r="I23" s="650" t="s">
        <v>3</v>
      </c>
      <c r="J23" s="652">
        <v>222311389</v>
      </c>
      <c r="K23" s="652">
        <v>453226514</v>
      </c>
      <c r="L23" s="652">
        <v>720189020</v>
      </c>
      <c r="M23" s="652">
        <v>894983110</v>
      </c>
    </row>
    <row r="24" spans="9:20" x14ac:dyDescent="0.7">
      <c r="I24" s="650" t="s">
        <v>19</v>
      </c>
      <c r="J24" s="651">
        <v>199721637</v>
      </c>
      <c r="K24" s="651">
        <v>430463375</v>
      </c>
      <c r="L24" s="651">
        <v>687129085</v>
      </c>
      <c r="M24" s="651">
        <v>759175124</v>
      </c>
    </row>
    <row r="25" spans="9:20" x14ac:dyDescent="0.7">
      <c r="I25" s="660" t="s">
        <v>983</v>
      </c>
      <c r="J25" s="659">
        <f>-L6/Q6</f>
        <v>0.89838688831187141</v>
      </c>
      <c r="K25" s="659">
        <f>-L7/Q7</f>
        <v>0.94977535890585607</v>
      </c>
      <c r="L25" s="659">
        <f>-L8/Q8</f>
        <v>0.95409547482409551</v>
      </c>
      <c r="M25" s="659">
        <f>-L9/Q9</f>
        <v>0.84825636988836584</v>
      </c>
    </row>
    <row r="29" spans="9:20" x14ac:dyDescent="0.7">
      <c r="I29" s="648" t="s">
        <v>790</v>
      </c>
      <c r="J29" s="648"/>
      <c r="K29" s="648"/>
      <c r="L29" s="648"/>
      <c r="M29" s="648"/>
    </row>
    <row r="30" spans="9:20" x14ac:dyDescent="0.7">
      <c r="I30" s="650" t="s">
        <v>682</v>
      </c>
      <c r="J30" s="650">
        <v>1396</v>
      </c>
      <c r="K30" s="650">
        <v>1397</v>
      </c>
      <c r="L30" s="650">
        <v>1398</v>
      </c>
      <c r="M30" s="650">
        <v>1399</v>
      </c>
    </row>
    <row r="31" spans="9:20" x14ac:dyDescent="0.7">
      <c r="I31" s="650" t="s">
        <v>3</v>
      </c>
      <c r="J31" s="651">
        <v>250853149</v>
      </c>
      <c r="K31" s="651">
        <v>485390122</v>
      </c>
      <c r="L31" s="651">
        <v>866331631</v>
      </c>
      <c r="M31" s="651">
        <v>1109548371</v>
      </c>
    </row>
    <row r="32" spans="9:20" x14ac:dyDescent="0.7">
      <c r="I32" s="650" t="s">
        <v>19</v>
      </c>
      <c r="J32" s="651">
        <v>222771507</v>
      </c>
      <c r="K32" s="651">
        <v>452894875</v>
      </c>
      <c r="L32" s="651">
        <v>829254592</v>
      </c>
      <c r="M32" s="651">
        <v>978700084</v>
      </c>
    </row>
    <row r="33" spans="9:16" x14ac:dyDescent="0.7">
      <c r="I33" s="660" t="s">
        <v>983</v>
      </c>
      <c r="J33" s="659">
        <f>J32/J31</f>
        <v>0.88805545351156823</v>
      </c>
      <c r="K33" s="659">
        <f>K32/K31</f>
        <v>0.93305334095777082</v>
      </c>
      <c r="L33" s="659">
        <f>L32/L31</f>
        <v>0.95720225641859313</v>
      </c>
      <c r="M33" s="659">
        <f>M32/M31</f>
        <v>0.88207067810656092</v>
      </c>
    </row>
    <row r="34" spans="9:16" x14ac:dyDescent="0.7">
      <c r="P34" s="661"/>
    </row>
    <row r="35" spans="9:16" x14ac:dyDescent="0.7">
      <c r="I35" s="648" t="s">
        <v>771</v>
      </c>
      <c r="J35" s="648"/>
      <c r="K35" s="648"/>
      <c r="L35" s="648"/>
      <c r="M35" s="648"/>
      <c r="P35" s="661"/>
    </row>
    <row r="36" spans="9:16" x14ac:dyDescent="0.7">
      <c r="I36" s="650" t="s">
        <v>682</v>
      </c>
      <c r="J36" s="650">
        <v>1396</v>
      </c>
      <c r="K36" s="650">
        <v>1397</v>
      </c>
      <c r="L36" s="650">
        <v>1398</v>
      </c>
      <c r="M36" s="650">
        <v>1399</v>
      </c>
      <c r="P36" s="661"/>
    </row>
    <row r="37" spans="9:16" x14ac:dyDescent="0.7">
      <c r="I37" s="650" t="s">
        <v>3</v>
      </c>
      <c r="J37" s="651">
        <v>179720032</v>
      </c>
      <c r="K37" s="651">
        <v>367994198</v>
      </c>
      <c r="L37" s="651">
        <v>561728170</v>
      </c>
      <c r="M37" s="651">
        <v>723024323</v>
      </c>
      <c r="P37" s="661"/>
    </row>
    <row r="38" spans="9:16" x14ac:dyDescent="0.7">
      <c r="I38" s="650" t="s">
        <v>19</v>
      </c>
      <c r="J38" s="651">
        <v>161288243</v>
      </c>
      <c r="K38" s="651">
        <v>335966876</v>
      </c>
      <c r="L38" s="651">
        <v>523512700</v>
      </c>
      <c r="M38" s="651">
        <v>620252949</v>
      </c>
      <c r="P38" s="661"/>
    </row>
    <row r="39" spans="9:16" x14ac:dyDescent="0.7">
      <c r="I39" s="650" t="s">
        <v>983</v>
      </c>
      <c r="J39" s="659">
        <f>J38/J37</f>
        <v>0.89744165525187536</v>
      </c>
      <c r="K39" s="659">
        <f>K38/K37</f>
        <v>0.91296786152046883</v>
      </c>
      <c r="L39" s="659">
        <f>L38/L37</f>
        <v>0.93196803713796306</v>
      </c>
      <c r="M39" s="662">
        <f>M38/M37</f>
        <v>0.8578590363688221</v>
      </c>
      <c r="P39" s="661"/>
    </row>
    <row r="41" spans="9:16" x14ac:dyDescent="0.7">
      <c r="I41" s="648" t="s">
        <v>780</v>
      </c>
      <c r="J41" s="648"/>
      <c r="K41" s="648"/>
      <c r="L41" s="648"/>
      <c r="M41" s="648"/>
    </row>
    <row r="42" spans="9:16" x14ac:dyDescent="0.7">
      <c r="I42" s="650" t="s">
        <v>682</v>
      </c>
      <c r="J42" s="650">
        <v>1396</v>
      </c>
      <c r="K42" s="650">
        <v>1397</v>
      </c>
      <c r="L42" s="650">
        <v>1398</v>
      </c>
      <c r="M42" s="650">
        <v>1399</v>
      </c>
    </row>
    <row r="43" spans="9:16" x14ac:dyDescent="0.7">
      <c r="I43" s="650" t="s">
        <v>3</v>
      </c>
      <c r="J43" s="651">
        <v>82017675</v>
      </c>
      <c r="K43" s="651">
        <v>171496684</v>
      </c>
      <c r="L43" s="651">
        <v>258119406</v>
      </c>
      <c r="M43" s="651">
        <v>358665256</v>
      </c>
    </row>
    <row r="44" spans="9:16" x14ac:dyDescent="0.7">
      <c r="I44" s="650" t="s">
        <v>19</v>
      </c>
      <c r="J44" s="651">
        <v>71911559</v>
      </c>
      <c r="K44" s="651">
        <v>155171573</v>
      </c>
      <c r="L44" s="651">
        <v>236475450</v>
      </c>
      <c r="M44" s="651">
        <v>301016233</v>
      </c>
    </row>
    <row r="45" spans="9:16" x14ac:dyDescent="0.7">
      <c r="I45" s="650" t="s">
        <v>983</v>
      </c>
      <c r="J45" s="659">
        <f>J44/J43</f>
        <v>0.87678124257972445</v>
      </c>
      <c r="K45" s="659">
        <f>K44/K43</f>
        <v>0.90480800783296778</v>
      </c>
      <c r="L45" s="659">
        <f>L44/L43</f>
        <v>0.91614750577877901</v>
      </c>
      <c r="M45" s="662">
        <f>M44/M43</f>
        <v>0.83926789106107336</v>
      </c>
    </row>
    <row r="47" spans="9:16" x14ac:dyDescent="0.7">
      <c r="I47" s="648" t="s">
        <v>759</v>
      </c>
      <c r="J47" s="648"/>
      <c r="K47" s="648"/>
      <c r="L47" s="648"/>
      <c r="M47" s="648"/>
    </row>
    <row r="48" spans="9:16" x14ac:dyDescent="0.7">
      <c r="I48" s="650" t="s">
        <v>682</v>
      </c>
      <c r="J48" s="650">
        <v>1396</v>
      </c>
      <c r="K48" s="650">
        <v>1397</v>
      </c>
      <c r="L48" s="650">
        <v>1398</v>
      </c>
      <c r="M48" s="650">
        <v>1399</v>
      </c>
    </row>
    <row r="49" spans="9:13" x14ac:dyDescent="0.7">
      <c r="I49" s="650" t="s">
        <v>3</v>
      </c>
      <c r="J49" s="651">
        <v>39385591</v>
      </c>
      <c r="K49" s="651">
        <v>68775268</v>
      </c>
      <c r="L49" s="651">
        <v>113386766</v>
      </c>
      <c r="M49" s="651">
        <v>139276849</v>
      </c>
    </row>
    <row r="50" spans="9:13" x14ac:dyDescent="0.7">
      <c r="I50" s="650" t="s">
        <v>19</v>
      </c>
      <c r="J50" s="651">
        <v>34291881</v>
      </c>
      <c r="K50" s="651">
        <v>70838623</v>
      </c>
      <c r="L50" s="651">
        <v>111607448</v>
      </c>
      <c r="M50" s="651">
        <v>118711894</v>
      </c>
    </row>
    <row r="51" spans="9:13" x14ac:dyDescent="0.7">
      <c r="I51" s="650" t="s">
        <v>983</v>
      </c>
      <c r="J51" s="659">
        <f>J50/J49</f>
        <v>0.8706707232094093</v>
      </c>
      <c r="K51" s="659">
        <f>K50/K49</f>
        <v>1.0300014098091193</v>
      </c>
      <c r="L51" s="659">
        <f>L50/L49</f>
        <v>0.98430753373810842</v>
      </c>
      <c r="M51" s="662">
        <f>M50/M49</f>
        <v>0.85234477124048091</v>
      </c>
    </row>
  </sheetData>
  <mergeCells count="6">
    <mergeCell ref="I3:Q3"/>
    <mergeCell ref="P15:T15"/>
    <mergeCell ref="I29:M29"/>
    <mergeCell ref="I35:M35"/>
    <mergeCell ref="I41:M41"/>
    <mergeCell ref="I47:M4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4:O23"/>
  <sheetViews>
    <sheetView zoomScale="50" zoomScaleNormal="50" workbookViewId="0">
      <selection activeCell="L34" sqref="L34"/>
    </sheetView>
  </sheetViews>
  <sheetFormatPr defaultRowHeight="21.5" x14ac:dyDescent="0.7"/>
  <cols>
    <col min="1" max="8" width="8.7265625" style="435"/>
    <col min="9" max="9" width="14.81640625" style="435" bestFit="1" customWidth="1"/>
    <col min="10" max="10" width="23.36328125" style="435" customWidth="1"/>
    <col min="11" max="14" width="22.54296875" style="435" bestFit="1" customWidth="1"/>
    <col min="15" max="16384" width="8.7265625" style="435"/>
  </cols>
  <sheetData>
    <row r="4" spans="9:15" x14ac:dyDescent="0.7">
      <c r="I4" s="581" t="s">
        <v>895</v>
      </c>
      <c r="J4" s="582"/>
      <c r="K4" s="582"/>
      <c r="L4" s="582"/>
      <c r="M4" s="582"/>
      <c r="N4" s="583"/>
    </row>
    <row r="5" spans="9:15" x14ac:dyDescent="0.7">
      <c r="I5" s="436" t="s">
        <v>52</v>
      </c>
      <c r="J5" s="436">
        <v>95</v>
      </c>
      <c r="K5" s="436">
        <v>96</v>
      </c>
      <c r="L5" s="436">
        <v>97</v>
      </c>
      <c r="M5" s="436">
        <v>98</v>
      </c>
      <c r="N5" s="436">
        <v>99</v>
      </c>
    </row>
    <row r="6" spans="9:15" x14ac:dyDescent="0.7">
      <c r="I6" s="436"/>
      <c r="J6" s="437"/>
      <c r="K6" s="437"/>
      <c r="L6" s="437"/>
      <c r="M6" s="437"/>
      <c r="N6" s="437"/>
    </row>
    <row r="7" spans="9:15" x14ac:dyDescent="0.7">
      <c r="I7" s="439"/>
      <c r="J7" s="440">
        <v>1</v>
      </c>
      <c r="K7" s="440">
        <v>1</v>
      </c>
      <c r="L7" s="440">
        <v>1</v>
      </c>
      <c r="M7" s="440">
        <v>1</v>
      </c>
      <c r="N7" s="440">
        <v>1</v>
      </c>
      <c r="O7" s="438"/>
    </row>
    <row r="8" spans="9:15" ht="23.1" x14ac:dyDescent="0.8">
      <c r="I8" s="441" t="s">
        <v>4</v>
      </c>
      <c r="J8" s="442">
        <v>0.39739395163684954</v>
      </c>
      <c r="K8" s="442">
        <v>0.37258819879893784</v>
      </c>
      <c r="L8" s="442">
        <v>0.38011457996916748</v>
      </c>
      <c r="M8" s="442">
        <v>0.40979404545767723</v>
      </c>
      <c r="N8" s="442">
        <v>0.37678739546269202</v>
      </c>
      <c r="O8" s="438"/>
    </row>
    <row r="9" spans="9:15" x14ac:dyDescent="0.7">
      <c r="I9" s="443" t="s">
        <v>797</v>
      </c>
      <c r="J9" s="440">
        <v>0.17775794533608966</v>
      </c>
      <c r="K9" s="440">
        <v>0.22566476789904813</v>
      </c>
      <c r="L9" s="440">
        <v>0.23432896514081697</v>
      </c>
      <c r="M9" s="440">
        <v>0.22788928106679548</v>
      </c>
      <c r="N9" s="440">
        <v>0.27020115385194254</v>
      </c>
    </row>
    <row r="10" spans="9:15" x14ac:dyDescent="0.7">
      <c r="I10" s="443" t="s">
        <v>755</v>
      </c>
      <c r="J10" s="440">
        <v>0.18947069563493632</v>
      </c>
      <c r="K10" s="440">
        <v>0.21720633035134335</v>
      </c>
      <c r="L10" s="440">
        <v>0.18731118850650472</v>
      </c>
      <c r="M10" s="440">
        <v>0.19387623682460475</v>
      </c>
      <c r="N10" s="440">
        <v>0.16984550356486616</v>
      </c>
      <c r="O10" s="438"/>
    </row>
    <row r="11" spans="9:15" x14ac:dyDescent="0.7">
      <c r="I11" s="439" t="s">
        <v>767</v>
      </c>
      <c r="J11" s="440">
        <v>5.2872425883665107E-2</v>
      </c>
      <c r="K11" s="440">
        <v>6.8159908802513033E-2</v>
      </c>
      <c r="L11" s="440">
        <v>8.284448910241822E-2</v>
      </c>
      <c r="M11" s="440">
        <v>6.5495290389181435E-2</v>
      </c>
      <c r="N11" s="440">
        <v>8.0854561601726757E-2</v>
      </c>
    </row>
    <row r="12" spans="9:15" x14ac:dyDescent="0.7">
      <c r="I12" s="443" t="s">
        <v>763</v>
      </c>
      <c r="J12" s="440">
        <v>5.7193553496171008E-2</v>
      </c>
      <c r="K12" s="440">
        <v>5.0805647208654707E-2</v>
      </c>
      <c r="L12" s="440">
        <v>5.6651129638015836E-2</v>
      </c>
      <c r="M12" s="440">
        <v>5.6635110876863966E-2</v>
      </c>
      <c r="N12" s="440">
        <v>4.6312009172999921E-2</v>
      </c>
    </row>
    <row r="13" spans="9:15" x14ac:dyDescent="0.7">
      <c r="I13" s="439" t="s">
        <v>896</v>
      </c>
      <c r="J13" s="440">
        <v>1.4199820251107683E-2</v>
      </c>
      <c r="K13" s="440">
        <v>9.2405252346293432E-3</v>
      </c>
      <c r="L13" s="440">
        <v>1.6584952044531094E-2</v>
      </c>
      <c r="M13" s="440">
        <v>1.0497612140768267E-2</v>
      </c>
      <c r="N13" s="440">
        <v>1.4867035870654587E-2</v>
      </c>
    </row>
    <row r="14" spans="9:15" x14ac:dyDescent="0.7">
      <c r="I14" s="443" t="s">
        <v>796</v>
      </c>
      <c r="J14" s="440">
        <v>1.7474235513043609E-2</v>
      </c>
      <c r="K14" s="440">
        <v>1.8227298287448512E-2</v>
      </c>
      <c r="L14" s="440">
        <v>1.5937745866297662E-2</v>
      </c>
      <c r="M14" s="440">
        <v>1.1748707304646217E-2</v>
      </c>
      <c r="N14" s="440">
        <v>1.1338110056624421E-2</v>
      </c>
    </row>
    <row r="15" spans="9:15" x14ac:dyDescent="0.7">
      <c r="I15" s="443" t="s">
        <v>794</v>
      </c>
      <c r="J15" s="440">
        <v>1.6502128257869508E-2</v>
      </c>
      <c r="K15" s="440">
        <v>1.487952558292009E-2</v>
      </c>
      <c r="L15" s="440">
        <v>1.388802024058107E-2</v>
      </c>
      <c r="M15" s="440">
        <v>1.3473914112159055E-2</v>
      </c>
      <c r="N15" s="440">
        <v>1.1136916315660973E-2</v>
      </c>
    </row>
    <row r="16" spans="9:15" x14ac:dyDescent="0.7">
      <c r="I16" s="439" t="s">
        <v>753</v>
      </c>
      <c r="J16" s="440">
        <v>7.3878123518220165E-2</v>
      </c>
      <c r="K16" s="440">
        <v>1.807480497546619E-2</v>
      </c>
      <c r="L16" s="440">
        <v>3.4344570582646892E-3</v>
      </c>
      <c r="M16" s="440">
        <v>4.1513601526443709E-3</v>
      </c>
      <c r="N16" s="440">
        <v>6.9054174664815744E-3</v>
      </c>
    </row>
    <row r="17" spans="9:14" x14ac:dyDescent="0.7">
      <c r="I17" s="439" t="s">
        <v>793</v>
      </c>
      <c r="J17" s="440"/>
      <c r="K17" s="440">
        <v>1.234453175046286E-3</v>
      </c>
      <c r="L17" s="440">
        <v>3.6584201249973648E-3</v>
      </c>
      <c r="M17" s="440">
        <v>1.6156758402120599E-3</v>
      </c>
      <c r="N17" s="440">
        <v>6.2271197497794119E-3</v>
      </c>
    </row>
    <row r="18" spans="9:14" x14ac:dyDescent="0.7">
      <c r="I18" s="439" t="s">
        <v>773</v>
      </c>
      <c r="J18" s="440">
        <v>1.5205104272236947E-3</v>
      </c>
      <c r="K18" s="440">
        <v>2.2619174045104815E-3</v>
      </c>
      <c r="L18" s="440">
        <v>3.0896427211228863E-3</v>
      </c>
      <c r="M18" s="440">
        <v>2.2233899094990369E-3</v>
      </c>
      <c r="N18" s="440">
        <v>3.1758174743655217E-3</v>
      </c>
    </row>
    <row r="19" spans="9:14" x14ac:dyDescent="0.7">
      <c r="I19" s="439" t="s">
        <v>792</v>
      </c>
      <c r="J19" s="440">
        <v>1.2477216550207774E-3</v>
      </c>
      <c r="K19" s="440">
        <v>1.182350581238103E-3</v>
      </c>
      <c r="L19" s="440">
        <v>1.6038867487792208E-3</v>
      </c>
      <c r="M19" s="440">
        <v>2.135904543504426E-3</v>
      </c>
      <c r="N19" s="440">
        <v>1.2703424090316072E-3</v>
      </c>
    </row>
    <row r="20" spans="9:14" x14ac:dyDescent="0.7">
      <c r="I20" s="439" t="s">
        <v>762</v>
      </c>
      <c r="J20" s="440">
        <v>4.8020445657017617E-4</v>
      </c>
      <c r="K20" s="440">
        <v>4.6231549567620216E-4</v>
      </c>
      <c r="L20" s="440">
        <v>5.4775039043721962E-4</v>
      </c>
      <c r="M20" s="440">
        <v>4.5672593008985334E-4</v>
      </c>
      <c r="N20" s="440">
        <v>1.0654502742515443E-3</v>
      </c>
    </row>
    <row r="21" spans="9:14" x14ac:dyDescent="0.7">
      <c r="I21" s="439" t="s">
        <v>791</v>
      </c>
      <c r="J21" s="440">
        <v>8.6839332327572291E-6</v>
      </c>
      <c r="K21" s="440">
        <v>1.1956202567741593E-5</v>
      </c>
      <c r="L21" s="440">
        <v>4.7724480655604364E-6</v>
      </c>
      <c r="M21" s="440">
        <v>6.7454513538681834E-6</v>
      </c>
      <c r="N21" s="440">
        <v>1.316672892296258E-5</v>
      </c>
    </row>
    <row r="22" spans="9:14" x14ac:dyDescent="0.7">
      <c r="I22" s="439" t="s">
        <v>897</v>
      </c>
      <c r="J22" s="440"/>
      <c r="K22" s="440"/>
      <c r="L22" s="440">
        <v>0</v>
      </c>
      <c r="M22" s="440">
        <v>0</v>
      </c>
      <c r="N22" s="440">
        <v>0</v>
      </c>
    </row>
    <row r="23" spans="9:14" x14ac:dyDescent="0.7">
      <c r="I23" s="439" t="s">
        <v>898</v>
      </c>
      <c r="J23" s="440"/>
      <c r="K23" s="440"/>
      <c r="L23" s="440">
        <v>0</v>
      </c>
      <c r="M23" s="440">
        <v>0</v>
      </c>
      <c r="N23" s="440">
        <v>0</v>
      </c>
    </row>
  </sheetData>
  <mergeCells count="1">
    <mergeCell ref="I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41"/>
  <sheetViews>
    <sheetView zoomScale="40" zoomScaleNormal="40" workbookViewId="0">
      <selection activeCell="AA22" sqref="AA22"/>
    </sheetView>
  </sheetViews>
  <sheetFormatPr defaultRowHeight="19.899999999999999" x14ac:dyDescent="0.65"/>
  <cols>
    <col min="1" max="3" width="8.7265625" style="614"/>
    <col min="4" max="4" width="12.26953125" style="614" customWidth="1"/>
    <col min="5" max="5" width="10.08984375" style="614" customWidth="1"/>
    <col min="6" max="16384" width="8.7265625" style="614"/>
  </cols>
  <sheetData>
    <row r="3" spans="4:9" s="614" customFormat="1" x14ac:dyDescent="0.65">
      <c r="D3" s="667" t="s">
        <v>991</v>
      </c>
      <c r="E3" s="666"/>
      <c r="F3" s="666"/>
      <c r="G3" s="666"/>
      <c r="H3" s="666"/>
      <c r="I3" s="665"/>
    </row>
    <row r="4" spans="4:9" s="614" customFormat="1" x14ac:dyDescent="0.65">
      <c r="D4" s="664" t="s">
        <v>902</v>
      </c>
      <c r="E4" s="613">
        <v>1395</v>
      </c>
      <c r="F4" s="613">
        <v>1396</v>
      </c>
      <c r="G4" s="613">
        <v>1397</v>
      </c>
      <c r="H4" s="613">
        <v>1398</v>
      </c>
      <c r="I4" s="613">
        <v>1399</v>
      </c>
    </row>
    <row r="5" spans="4:9" s="614" customFormat="1" x14ac:dyDescent="0.65">
      <c r="D5" s="664" t="s">
        <v>798</v>
      </c>
      <c r="E5" s="621">
        <v>8.900000000000001E-2</v>
      </c>
      <c r="F5" s="621">
        <v>0.09</v>
      </c>
      <c r="G5" s="621">
        <v>9.8000000000000004E-2</v>
      </c>
      <c r="H5" s="621">
        <v>9.3000000000000013E-2</v>
      </c>
      <c r="I5" s="621">
        <v>0.128</v>
      </c>
    </row>
    <row r="6" spans="4:9" s="614" customFormat="1" x14ac:dyDescent="0.65">
      <c r="D6" s="664" t="s">
        <v>790</v>
      </c>
      <c r="E6" s="624">
        <v>8.8000000000000009E-2</v>
      </c>
      <c r="F6" s="624">
        <v>0.10199999999999999</v>
      </c>
      <c r="G6" s="624">
        <v>0.114</v>
      </c>
      <c r="H6" s="624">
        <v>6.3E-2</v>
      </c>
      <c r="I6" s="624">
        <v>0.11599999999999999</v>
      </c>
    </row>
    <row r="7" spans="4:9" s="614" customFormat="1" x14ac:dyDescent="0.65">
      <c r="D7" s="664" t="s">
        <v>780</v>
      </c>
      <c r="E7" s="624">
        <v>9.8000000000000004E-2</v>
      </c>
      <c r="F7" s="624">
        <v>0.106</v>
      </c>
      <c r="G7" s="624">
        <v>0.121</v>
      </c>
      <c r="H7" s="624">
        <v>7.8E-2</v>
      </c>
      <c r="I7" s="624">
        <v>0.13200000000000001</v>
      </c>
    </row>
    <row r="8" spans="4:9" s="614" customFormat="1" x14ac:dyDescent="0.65">
      <c r="D8" s="664" t="s">
        <v>771</v>
      </c>
      <c r="E8" s="624">
        <v>8.8000000000000009E-2</v>
      </c>
      <c r="F8" s="624">
        <v>8.8000000000000009E-2</v>
      </c>
      <c r="G8" s="624">
        <v>0.10300000000000001</v>
      </c>
      <c r="H8" s="624">
        <v>7.0000000000000007E-2</v>
      </c>
      <c r="I8" s="624">
        <v>0.11900000000000001</v>
      </c>
    </row>
    <row r="9" spans="4:9" s="614" customFormat="1" x14ac:dyDescent="0.65">
      <c r="D9" s="664" t="s">
        <v>913</v>
      </c>
      <c r="E9" s="624">
        <v>0.06</v>
      </c>
      <c r="F9" s="624">
        <v>7.8E-2</v>
      </c>
      <c r="G9" s="624">
        <v>6.4000000000000001E-2</v>
      </c>
      <c r="H9" s="624">
        <v>3.1E-2</v>
      </c>
      <c r="I9" s="624">
        <v>0.17100000000000001</v>
      </c>
    </row>
    <row r="10" spans="4:9" s="614" customFormat="1" x14ac:dyDescent="0.65">
      <c r="D10" s="613" t="s">
        <v>988</v>
      </c>
      <c r="E10" s="663">
        <f>AVERAGE(E5:E9)</f>
        <v>8.4600000000000009E-2</v>
      </c>
      <c r="F10" s="663">
        <f>AVERAGE(F5:F9)</f>
        <v>9.2800000000000007E-2</v>
      </c>
      <c r="G10" s="663">
        <f>AVERAGE(G5:G9)</f>
        <v>0.1</v>
      </c>
      <c r="H10" s="663">
        <f>AVERAGE(H5:H9)</f>
        <v>6.7000000000000018E-2</v>
      </c>
      <c r="I10" s="663">
        <f>AVERAGE(I5:I9)</f>
        <v>0.13320000000000001</v>
      </c>
    </row>
    <row r="11" spans="4:9" s="614" customFormat="1" x14ac:dyDescent="0.65">
      <c r="D11" s="613" t="s">
        <v>987</v>
      </c>
      <c r="E11" s="624">
        <f>_xlfn.QUARTILE.EXC(E5:E9,1)</f>
        <v>7.400000000000001E-2</v>
      </c>
      <c r="F11" s="624">
        <f>_xlfn.QUARTILE.EXC(F5:F9,1)</f>
        <v>8.3000000000000004E-2</v>
      </c>
      <c r="G11" s="624">
        <f>_xlfn.QUARTILE.EXC(G5:G9,1)</f>
        <v>8.1000000000000003E-2</v>
      </c>
      <c r="H11" s="624">
        <f>_xlfn.QUARTILE.EXC(H5:H9,1)</f>
        <v>4.7E-2</v>
      </c>
      <c r="I11" s="624">
        <f>_xlfn.QUARTILE.EXC(I5:I9,1)</f>
        <v>0.11749999999999999</v>
      </c>
    </row>
    <row r="12" spans="4:9" s="614" customFormat="1" x14ac:dyDescent="0.65">
      <c r="D12" s="613" t="s">
        <v>986</v>
      </c>
      <c r="E12" s="624">
        <f>_xlfn.QUARTILE.EXC(E5:E9,2)</f>
        <v>8.8000000000000009E-2</v>
      </c>
      <c r="F12" s="624">
        <f>_xlfn.QUARTILE.EXC(F5:F9,2)</f>
        <v>0.09</v>
      </c>
      <c r="G12" s="624">
        <f>_xlfn.QUARTILE.EXC(G5:G9,2)</f>
        <v>0.10300000000000001</v>
      </c>
      <c r="H12" s="624">
        <f>_xlfn.QUARTILE.EXC(H5:H9,2)</f>
        <v>7.0000000000000007E-2</v>
      </c>
      <c r="I12" s="624">
        <f>_xlfn.QUARTILE.EXC(I5:I9,2)</f>
        <v>0.128</v>
      </c>
    </row>
    <row r="13" spans="4:9" s="614" customFormat="1" x14ac:dyDescent="0.65">
      <c r="D13" s="613" t="s">
        <v>985</v>
      </c>
      <c r="E13" s="624">
        <f>_xlfn.QUARTILE.EXC(E5:E9,3)</f>
        <v>9.35E-2</v>
      </c>
      <c r="F13" s="624">
        <f>_xlfn.QUARTILE.EXC(F5:F9,3)</f>
        <v>0.104</v>
      </c>
      <c r="G13" s="624">
        <f>_xlfn.QUARTILE.EXC(G5:G9,3)</f>
        <v>0.11749999999999999</v>
      </c>
      <c r="H13" s="624">
        <f>_xlfn.QUARTILE.EXC(H5:H9,3)</f>
        <v>8.5500000000000007E-2</v>
      </c>
      <c r="I13" s="624">
        <f>_xlfn.QUARTILE.EXC(I5:I9,3)</f>
        <v>0.15150000000000002</v>
      </c>
    </row>
    <row r="14" spans="4:9" s="614" customFormat="1" x14ac:dyDescent="0.65">
      <c r="D14" s="613" t="s">
        <v>984</v>
      </c>
      <c r="E14" s="624">
        <f>MAX(E5:E9)</f>
        <v>9.8000000000000004E-2</v>
      </c>
      <c r="F14" s="624">
        <f>MAX(F5:F9)</f>
        <v>0.106</v>
      </c>
      <c r="G14" s="624">
        <f>MAX(G5:G9)</f>
        <v>0.121</v>
      </c>
      <c r="H14" s="624">
        <f>MAX(H5:H9)</f>
        <v>9.3000000000000013E-2</v>
      </c>
      <c r="I14" s="624">
        <f>MAX(I5:I9)</f>
        <v>0.17100000000000001</v>
      </c>
    </row>
    <row r="17" spans="4:9" s="614" customFormat="1" x14ac:dyDescent="0.65">
      <c r="D17" s="667" t="s">
        <v>990</v>
      </c>
      <c r="E17" s="666"/>
      <c r="F17" s="666"/>
      <c r="G17" s="666"/>
      <c r="H17" s="666"/>
      <c r="I17" s="665"/>
    </row>
    <row r="18" spans="4:9" s="614" customFormat="1" x14ac:dyDescent="0.65">
      <c r="D18" s="664" t="s">
        <v>902</v>
      </c>
      <c r="E18" s="613">
        <v>1395</v>
      </c>
      <c r="F18" s="613">
        <v>1396</v>
      </c>
      <c r="G18" s="613">
        <v>1397</v>
      </c>
      <c r="H18" s="613">
        <v>1398</v>
      </c>
      <c r="I18" s="613">
        <v>1399</v>
      </c>
    </row>
    <row r="19" spans="4:9" s="614" customFormat="1" x14ac:dyDescent="0.65">
      <c r="D19" s="664" t="s">
        <v>798</v>
      </c>
      <c r="E19" s="621">
        <v>7.5999999999999998E-2</v>
      </c>
      <c r="F19" s="621">
        <v>6.7000000000000004E-2</v>
      </c>
      <c r="G19" s="621">
        <v>9.0999999999999998E-2</v>
      </c>
      <c r="H19" s="621">
        <v>0.04</v>
      </c>
      <c r="I19" s="621">
        <v>0.17100000000000001</v>
      </c>
    </row>
    <row r="20" spans="4:9" s="614" customFormat="1" x14ac:dyDescent="0.65">
      <c r="D20" s="664" t="s">
        <v>790</v>
      </c>
      <c r="E20" s="624">
        <v>8.5000000000000006E-2</v>
      </c>
      <c r="F20" s="624">
        <v>8.900000000000001E-2</v>
      </c>
      <c r="G20" s="624">
        <v>0.12300000000000001</v>
      </c>
      <c r="H20" s="624">
        <v>3.2000000000000001E-2</v>
      </c>
      <c r="I20" s="624">
        <v>0.14300000000000002</v>
      </c>
    </row>
    <row r="21" spans="4:9" s="614" customFormat="1" x14ac:dyDescent="0.65">
      <c r="D21" s="664" t="s">
        <v>780</v>
      </c>
      <c r="E21" s="624">
        <v>9.3000000000000013E-2</v>
      </c>
      <c r="F21" s="624">
        <v>9.1999999999999998E-2</v>
      </c>
      <c r="G21" s="624">
        <v>0.12</v>
      </c>
      <c r="H21" s="624">
        <v>0.05</v>
      </c>
      <c r="I21" s="624">
        <v>0.16</v>
      </c>
    </row>
    <row r="22" spans="4:9" s="614" customFormat="1" x14ac:dyDescent="0.65">
      <c r="D22" s="664" t="s">
        <v>771</v>
      </c>
      <c r="E22" s="624">
        <v>7.9000000000000001E-2</v>
      </c>
      <c r="F22" s="624">
        <v>0.08</v>
      </c>
      <c r="G22" s="624">
        <v>0.10099999999999999</v>
      </c>
      <c r="H22" s="624">
        <v>4.9000000000000002E-2</v>
      </c>
      <c r="I22" s="624">
        <v>0.14499999999999999</v>
      </c>
    </row>
    <row r="23" spans="4:9" s="614" customFormat="1" x14ac:dyDescent="0.65">
      <c r="D23" s="664" t="s">
        <v>913</v>
      </c>
      <c r="E23" s="624">
        <v>4.2000000000000003E-2</v>
      </c>
      <c r="F23" s="624">
        <v>5.7000000000000002E-2</v>
      </c>
      <c r="G23" s="624">
        <v>5.5E-2</v>
      </c>
      <c r="H23" s="624">
        <v>2.8999999999999998E-2</v>
      </c>
      <c r="I23" s="624">
        <v>0.17499999999999999</v>
      </c>
    </row>
    <row r="24" spans="4:9" s="614" customFormat="1" x14ac:dyDescent="0.65">
      <c r="D24" s="613" t="s">
        <v>988</v>
      </c>
      <c r="E24" s="663">
        <f>AVERAGE(E19:E23)</f>
        <v>7.4999999999999997E-2</v>
      </c>
      <c r="F24" s="663">
        <f>AVERAGE(F19:F23)</f>
        <v>7.6999999999999999E-2</v>
      </c>
      <c r="G24" s="663">
        <f>AVERAGE(G19:G23)</f>
        <v>9.8000000000000004E-2</v>
      </c>
      <c r="H24" s="663">
        <f>AVERAGE(H19:H23)</f>
        <v>0.04</v>
      </c>
      <c r="I24" s="663">
        <f>AVERAGE(I19:I23)</f>
        <v>0.1588</v>
      </c>
    </row>
    <row r="25" spans="4:9" s="614" customFormat="1" x14ac:dyDescent="0.65">
      <c r="D25" s="613" t="s">
        <v>987</v>
      </c>
      <c r="E25" s="624">
        <f>_xlfn.QUARTILE.EXC(E19:E23,1)</f>
        <v>5.8999999999999997E-2</v>
      </c>
      <c r="F25" s="624">
        <f>_xlfn.QUARTILE.EXC(F19:F23,1)</f>
        <v>6.2E-2</v>
      </c>
      <c r="G25" s="624">
        <f>_xlfn.QUARTILE.EXC(G19:G23,1)</f>
        <v>7.2999999999999995E-2</v>
      </c>
      <c r="H25" s="624">
        <f>_xlfn.QUARTILE.EXC(H19:H23,1)</f>
        <v>3.0499999999999999E-2</v>
      </c>
      <c r="I25" s="624">
        <f>_xlfn.QUARTILE.EXC(I19:I23,1)</f>
        <v>0.14400000000000002</v>
      </c>
    </row>
    <row r="26" spans="4:9" s="614" customFormat="1" x14ac:dyDescent="0.65">
      <c r="D26" s="613" t="s">
        <v>986</v>
      </c>
      <c r="E26" s="624">
        <f>_xlfn.QUARTILE.EXC(E19:E23,2)</f>
        <v>7.9000000000000001E-2</v>
      </c>
      <c r="F26" s="624">
        <f>_xlfn.QUARTILE.EXC(F19:F23,2)</f>
        <v>0.08</v>
      </c>
      <c r="G26" s="624">
        <f>_xlfn.QUARTILE.EXC(G19:G23,2)</f>
        <v>0.10099999999999999</v>
      </c>
      <c r="H26" s="624">
        <f>_xlfn.QUARTILE.EXC(H19:H23,2)</f>
        <v>0.04</v>
      </c>
      <c r="I26" s="624">
        <f>_xlfn.QUARTILE.EXC(I19:I23,2)</f>
        <v>0.16</v>
      </c>
    </row>
    <row r="27" spans="4:9" s="614" customFormat="1" x14ac:dyDescent="0.65">
      <c r="D27" s="613" t="s">
        <v>985</v>
      </c>
      <c r="E27" s="624">
        <f>_xlfn.QUARTILE.EXC(E19:E23,3)</f>
        <v>8.900000000000001E-2</v>
      </c>
      <c r="F27" s="624">
        <f>_xlfn.QUARTILE.EXC(F19:F23,3)</f>
        <v>9.0499999999999997E-2</v>
      </c>
      <c r="G27" s="624">
        <f>_xlfn.QUARTILE.EXC(G19:G23,3)</f>
        <v>0.1215</v>
      </c>
      <c r="H27" s="624">
        <f>_xlfn.QUARTILE.EXC(H19:H23,3)</f>
        <v>4.9500000000000002E-2</v>
      </c>
      <c r="I27" s="624">
        <f>_xlfn.QUARTILE.EXC(I19:I23,3)</f>
        <v>0.17299999999999999</v>
      </c>
    </row>
    <row r="28" spans="4:9" s="614" customFormat="1" x14ac:dyDescent="0.65">
      <c r="D28" s="613" t="s">
        <v>984</v>
      </c>
      <c r="E28" s="624">
        <f>MAX(E19:E23)</f>
        <v>9.3000000000000013E-2</v>
      </c>
      <c r="F28" s="624">
        <f>MAX(F19:F23)</f>
        <v>9.1999999999999998E-2</v>
      </c>
      <c r="G28" s="624">
        <f>MAX(G19:G23)</f>
        <v>0.12300000000000001</v>
      </c>
      <c r="H28" s="624">
        <f>MAX(H19:H23)</f>
        <v>0.05</v>
      </c>
      <c r="I28" s="624">
        <f>MAX(I19:I23)</f>
        <v>0.17499999999999999</v>
      </c>
    </row>
    <row r="30" spans="4:9" s="614" customFormat="1" x14ac:dyDescent="0.65">
      <c r="D30" s="667" t="s">
        <v>989</v>
      </c>
      <c r="E30" s="666"/>
      <c r="F30" s="666"/>
      <c r="G30" s="666"/>
      <c r="H30" s="666"/>
      <c r="I30" s="665"/>
    </row>
    <row r="31" spans="4:9" s="614" customFormat="1" x14ac:dyDescent="0.65">
      <c r="D31" s="664" t="s">
        <v>902</v>
      </c>
      <c r="E31" s="613">
        <v>1395</v>
      </c>
      <c r="F31" s="613">
        <v>1396</v>
      </c>
      <c r="G31" s="613">
        <v>1397</v>
      </c>
      <c r="H31" s="613">
        <v>1398</v>
      </c>
      <c r="I31" s="613">
        <v>1399</v>
      </c>
    </row>
    <row r="32" spans="4:9" s="614" customFormat="1" x14ac:dyDescent="0.65">
      <c r="D32" s="664" t="s">
        <v>798</v>
      </c>
      <c r="E32" s="621">
        <v>6.3E-2</v>
      </c>
      <c r="F32" s="621">
        <v>5.5E-2</v>
      </c>
      <c r="G32" s="621">
        <v>7.6999999999999999E-2</v>
      </c>
      <c r="H32" s="621">
        <v>3.7000000000000005E-2</v>
      </c>
      <c r="I32" s="621">
        <v>0.15</v>
      </c>
    </row>
    <row r="33" spans="4:9" s="614" customFormat="1" x14ac:dyDescent="0.65">
      <c r="D33" s="664" t="s">
        <v>790</v>
      </c>
      <c r="E33" s="624">
        <v>5.9000000000000004E-2</v>
      </c>
      <c r="F33" s="624">
        <v>6.9000000000000006E-2</v>
      </c>
      <c r="G33" s="624">
        <v>0.105</v>
      </c>
      <c r="H33" s="624">
        <v>3.3000000000000002E-2</v>
      </c>
      <c r="I33" s="624">
        <v>0.13400000000000001</v>
      </c>
    </row>
    <row r="34" spans="4:9" s="614" customFormat="1" x14ac:dyDescent="0.65">
      <c r="D34" s="664" t="s">
        <v>780</v>
      </c>
      <c r="E34" s="624">
        <v>5.2999999999999999E-2</v>
      </c>
      <c r="F34" s="624">
        <v>5.2000000000000005E-2</v>
      </c>
      <c r="G34" s="624">
        <v>9.9000000000000005E-2</v>
      </c>
      <c r="H34" s="624">
        <v>3.9E-2</v>
      </c>
      <c r="I34" s="624">
        <v>0.155</v>
      </c>
    </row>
    <row r="35" spans="4:9" s="614" customFormat="1" x14ac:dyDescent="0.65">
      <c r="D35" s="664" t="s">
        <v>771</v>
      </c>
      <c r="E35" s="624">
        <v>7.0999999999999994E-2</v>
      </c>
      <c r="F35" s="624">
        <v>7.400000000000001E-2</v>
      </c>
      <c r="G35" s="624">
        <v>9.6000000000000002E-2</v>
      </c>
      <c r="H35" s="624">
        <v>5.7999999999999996E-2</v>
      </c>
      <c r="I35" s="624">
        <v>0.153</v>
      </c>
    </row>
    <row r="36" spans="4:9" s="614" customFormat="1" x14ac:dyDescent="0.65">
      <c r="D36" s="664" t="s">
        <v>913</v>
      </c>
      <c r="E36" s="624">
        <v>3.7999999999999999E-2</v>
      </c>
      <c r="F36" s="624">
        <v>3.6000000000000004E-2</v>
      </c>
      <c r="G36" s="624">
        <v>4.4000000000000004E-2</v>
      </c>
      <c r="H36" s="624">
        <v>2.5000000000000001E-2</v>
      </c>
      <c r="I36" s="624">
        <v>0.14800000000000002</v>
      </c>
    </row>
    <row r="37" spans="4:9" s="614" customFormat="1" x14ac:dyDescent="0.65">
      <c r="D37" s="613" t="s">
        <v>988</v>
      </c>
      <c r="E37" s="663">
        <f>AVERAGE(E32:E36)</f>
        <v>5.6799999999999996E-2</v>
      </c>
      <c r="F37" s="663">
        <f>AVERAGE(F32:F36)</f>
        <v>5.7200000000000008E-2</v>
      </c>
      <c r="G37" s="663">
        <f>AVERAGE(G32:G36)</f>
        <v>8.4199999999999997E-2</v>
      </c>
      <c r="H37" s="663">
        <f>AVERAGE(H32:H36)</f>
        <v>3.8400000000000004E-2</v>
      </c>
      <c r="I37" s="663">
        <f>AVERAGE(I32:I36)</f>
        <v>0.14800000000000002</v>
      </c>
    </row>
    <row r="38" spans="4:9" s="614" customFormat="1" x14ac:dyDescent="0.65">
      <c r="D38" s="613" t="s">
        <v>987</v>
      </c>
      <c r="E38" s="624">
        <f>_xlfn.QUARTILE.EXC(E32:E36,1)</f>
        <v>4.5499999999999999E-2</v>
      </c>
      <c r="F38" s="624">
        <f>_xlfn.QUARTILE.EXC(F32:F36,1)</f>
        <v>4.4000000000000004E-2</v>
      </c>
      <c r="G38" s="624">
        <f>_xlfn.QUARTILE.EXC(G32:G36,1)</f>
        <v>6.0499999999999998E-2</v>
      </c>
      <c r="H38" s="624">
        <f>_xlfn.QUARTILE.EXC(H32:H36,1)</f>
        <v>2.9000000000000001E-2</v>
      </c>
      <c r="I38" s="624">
        <f>_xlfn.QUARTILE.EXC(I32:I36,1)</f>
        <v>0.14100000000000001</v>
      </c>
    </row>
    <row r="39" spans="4:9" s="614" customFormat="1" x14ac:dyDescent="0.65">
      <c r="D39" s="613" t="s">
        <v>986</v>
      </c>
      <c r="E39" s="624">
        <f>_xlfn.QUARTILE.EXC(E32:E36,2)</f>
        <v>5.9000000000000004E-2</v>
      </c>
      <c r="F39" s="624">
        <f>_xlfn.QUARTILE.EXC(F32:F36,2)</f>
        <v>5.5E-2</v>
      </c>
      <c r="G39" s="624">
        <f>_xlfn.QUARTILE.EXC(G32:G36,2)</f>
        <v>9.6000000000000002E-2</v>
      </c>
      <c r="H39" s="624">
        <f>_xlfn.QUARTILE.EXC(H32:H36,2)</f>
        <v>3.7000000000000005E-2</v>
      </c>
      <c r="I39" s="624">
        <f>_xlfn.QUARTILE.EXC(I32:I36,2)</f>
        <v>0.15</v>
      </c>
    </row>
    <row r="40" spans="4:9" s="614" customFormat="1" x14ac:dyDescent="0.65">
      <c r="D40" s="613" t="s">
        <v>985</v>
      </c>
      <c r="E40" s="624">
        <f>_xlfn.QUARTILE.EXC(E32:E36,3)</f>
        <v>6.7000000000000004E-2</v>
      </c>
      <c r="F40" s="624">
        <f>_xlfn.QUARTILE.EXC(F32:F36,3)</f>
        <v>7.1500000000000008E-2</v>
      </c>
      <c r="G40" s="624">
        <f>_xlfn.QUARTILE.EXC(G32:G36,3)</f>
        <v>0.10200000000000001</v>
      </c>
      <c r="H40" s="624">
        <f>_xlfn.QUARTILE.EXC(H32:H36,3)</f>
        <v>4.8500000000000001E-2</v>
      </c>
      <c r="I40" s="624">
        <f>_xlfn.QUARTILE.EXC(I32:I36,3)</f>
        <v>0.154</v>
      </c>
    </row>
    <row r="41" spans="4:9" s="614" customFormat="1" x14ac:dyDescent="0.65">
      <c r="D41" s="613" t="s">
        <v>984</v>
      </c>
      <c r="E41" s="624">
        <f>MAX(E32:E36)</f>
        <v>7.0999999999999994E-2</v>
      </c>
      <c r="F41" s="624">
        <f>MAX(F32:F36)</f>
        <v>7.400000000000001E-2</v>
      </c>
      <c r="G41" s="624">
        <f>MAX(G32:G36)</f>
        <v>0.105</v>
      </c>
      <c r="H41" s="624">
        <f>MAX(H32:H36)</f>
        <v>5.7999999999999996E-2</v>
      </c>
      <c r="I41" s="624">
        <f>MAX(I32:I36)</f>
        <v>0.155</v>
      </c>
    </row>
  </sheetData>
  <mergeCells count="3">
    <mergeCell ref="D3:I3"/>
    <mergeCell ref="D17:I17"/>
    <mergeCell ref="D30:I3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S30"/>
  <sheetViews>
    <sheetView zoomScale="50" zoomScaleNormal="50" workbookViewId="0">
      <selection activeCell="M23" sqref="M23"/>
    </sheetView>
  </sheetViews>
  <sheetFormatPr defaultRowHeight="19.899999999999999" x14ac:dyDescent="0.65"/>
  <cols>
    <col min="1" max="4" width="8.7265625" style="614"/>
    <col min="5" max="5" width="20.90625" style="614" bestFit="1" customWidth="1"/>
    <col min="6" max="6" width="13.6328125" style="614" customWidth="1"/>
    <col min="7" max="7" width="15.453125" style="614" customWidth="1"/>
    <col min="8" max="8" width="15.6328125" style="614" customWidth="1"/>
    <col min="9" max="9" width="16.08984375" style="614" customWidth="1"/>
    <col min="10" max="10" width="15.36328125" style="614" customWidth="1"/>
    <col min="11" max="11" width="16.453125" style="614" customWidth="1"/>
    <col min="12" max="12" width="15" style="614" customWidth="1"/>
    <col min="13" max="14" width="21.7265625" style="614" bestFit="1" customWidth="1"/>
    <col min="15" max="18" width="8.7265625" style="614"/>
    <col min="19" max="19" width="20.453125" style="614" bestFit="1" customWidth="1"/>
    <col min="20" max="16384" width="8.7265625" style="614"/>
  </cols>
  <sheetData>
    <row r="5" spans="5:19" s="614" customFormat="1" x14ac:dyDescent="0.65">
      <c r="E5" s="696" t="s">
        <v>1004</v>
      </c>
      <c r="F5" s="696"/>
      <c r="G5" s="696"/>
      <c r="H5" s="696"/>
      <c r="I5" s="696"/>
      <c r="J5" s="696"/>
      <c r="K5" s="696"/>
      <c r="L5" s="696"/>
    </row>
    <row r="6" spans="5:19" s="614" customFormat="1" x14ac:dyDescent="0.65">
      <c r="E6" s="613" t="s">
        <v>682</v>
      </c>
      <c r="F6" s="613">
        <v>94</v>
      </c>
      <c r="G6" s="613">
        <v>95</v>
      </c>
      <c r="H6" s="613">
        <v>96</v>
      </c>
      <c r="I6" s="613">
        <v>97</v>
      </c>
      <c r="J6" s="613">
        <v>98</v>
      </c>
      <c r="K6" s="613">
        <v>99</v>
      </c>
      <c r="L6" s="613" t="s">
        <v>1003</v>
      </c>
    </row>
    <row r="7" spans="5:19" s="614" customFormat="1" x14ac:dyDescent="0.65">
      <c r="E7" s="613" t="s">
        <v>1002</v>
      </c>
      <c r="F7" s="613"/>
      <c r="G7" s="677">
        <v>10292931</v>
      </c>
      <c r="H7" s="677">
        <v>12314523</v>
      </c>
      <c r="I7" s="677">
        <v>35087829</v>
      </c>
      <c r="J7" s="677">
        <v>26380276</v>
      </c>
      <c r="K7" s="677">
        <v>134071751</v>
      </c>
      <c r="L7" s="613"/>
    </row>
    <row r="8" spans="5:19" s="614" customFormat="1" x14ac:dyDescent="0.65">
      <c r="E8" s="613" t="s">
        <v>1001</v>
      </c>
      <c r="F8" s="677">
        <v>23339490</v>
      </c>
      <c r="G8" s="677">
        <v>28645187</v>
      </c>
      <c r="H8" s="677">
        <v>31118531</v>
      </c>
      <c r="I8" s="677">
        <v>57433267</v>
      </c>
      <c r="J8" s="677">
        <v>60353543</v>
      </c>
      <c r="K8" s="677">
        <v>182376334</v>
      </c>
      <c r="L8" s="613"/>
    </row>
    <row r="9" spans="5:19" s="614" customFormat="1" x14ac:dyDescent="0.65">
      <c r="E9" s="613" t="s">
        <v>1000</v>
      </c>
      <c r="F9" s="613"/>
      <c r="G9" s="677">
        <f>AVERAGE(F8:G8)</f>
        <v>25992338.5</v>
      </c>
      <c r="H9" s="677">
        <f>AVERAGE(G8:H8)</f>
        <v>29881859</v>
      </c>
      <c r="I9" s="677">
        <f>AVERAGE(H8:I8)</f>
        <v>44275899</v>
      </c>
      <c r="J9" s="677">
        <f>AVERAGE(I8:J8)</f>
        <v>58893405</v>
      </c>
      <c r="K9" s="677">
        <f>AVERAGE(J8:K8)</f>
        <v>121364938.5</v>
      </c>
      <c r="L9" s="613"/>
    </row>
    <row r="10" spans="5:19" s="614" customFormat="1" x14ac:dyDescent="0.65">
      <c r="E10" s="676" t="s">
        <v>999</v>
      </c>
      <c r="F10" s="676"/>
      <c r="G10" s="695">
        <f>G7/G9</f>
        <v>0.39599865167960935</v>
      </c>
      <c r="H10" s="682">
        <f>H7/H9</f>
        <v>0.41210699106772442</v>
      </c>
      <c r="I10" s="682">
        <f>I7/I9</f>
        <v>0.792481458140466</v>
      </c>
      <c r="J10" s="682">
        <f>J7/J9</f>
        <v>0.44793259958394321</v>
      </c>
      <c r="K10" s="682">
        <f>K7/K9</f>
        <v>1.1046992043752406</v>
      </c>
      <c r="L10" s="682">
        <f>(K10/G10)-1</f>
        <v>1.7896539538448217</v>
      </c>
      <c r="S10" s="668"/>
    </row>
    <row r="11" spans="5:19" s="614" customFormat="1" x14ac:dyDescent="0.65">
      <c r="E11" s="613" t="s">
        <v>836</v>
      </c>
      <c r="F11" s="677">
        <v>76414054</v>
      </c>
      <c r="G11" s="677">
        <v>69159717</v>
      </c>
      <c r="H11" s="677">
        <v>65298855</v>
      </c>
      <c r="I11" s="677">
        <v>102668988</v>
      </c>
      <c r="J11" s="677">
        <v>128328140</v>
      </c>
      <c r="K11" s="677">
        <v>288866794</v>
      </c>
      <c r="L11" s="613"/>
    </row>
    <row r="12" spans="5:19" s="614" customFormat="1" x14ac:dyDescent="0.65">
      <c r="E12" s="613" t="s">
        <v>998</v>
      </c>
      <c r="F12" s="677"/>
      <c r="G12" s="677">
        <f>AVERAGE(F11:G11)</f>
        <v>72786885.5</v>
      </c>
      <c r="H12" s="677">
        <f>AVERAGE(G11:H11)</f>
        <v>67229286</v>
      </c>
      <c r="I12" s="677">
        <f>AVERAGE(H11:I11)</f>
        <v>83983921.5</v>
      </c>
      <c r="J12" s="677">
        <f>AVERAGE(I11:J11)</f>
        <v>115498564</v>
      </c>
      <c r="K12" s="677">
        <f>AVERAGE(J11:K11)</f>
        <v>208597467</v>
      </c>
      <c r="L12" s="613"/>
    </row>
    <row r="13" spans="5:19" s="614" customFormat="1" ht="40.299999999999997" thickBot="1" x14ac:dyDescent="0.7">
      <c r="E13" s="694" t="s">
        <v>997</v>
      </c>
      <c r="F13" s="694"/>
      <c r="G13" s="693">
        <f>G12/G9</f>
        <v>2.8003207752930734</v>
      </c>
      <c r="H13" s="693"/>
      <c r="I13" s="693"/>
      <c r="J13" s="693"/>
      <c r="K13" s="693">
        <f>K12/K9</f>
        <v>1.7187621859998718</v>
      </c>
      <c r="L13" s="692">
        <f>K13/G13-1</f>
        <v>-0.38622667761339191</v>
      </c>
    </row>
    <row r="14" spans="5:19" s="614" customFormat="1" ht="20.45" thickBot="1" x14ac:dyDescent="0.7">
      <c r="E14" s="691" t="s">
        <v>918</v>
      </c>
      <c r="F14" s="690"/>
      <c r="G14" s="688">
        <f>G7/G12</f>
        <v>0.14141188937119722</v>
      </c>
      <c r="H14" s="689"/>
      <c r="I14" s="689"/>
      <c r="J14" s="689"/>
      <c r="K14" s="688">
        <f>K7/K12</f>
        <v>0.64272952556993412</v>
      </c>
      <c r="L14" s="687">
        <f>K14/G14-1</f>
        <v>3.5450883120782724</v>
      </c>
      <c r="M14" s="673"/>
    </row>
    <row r="15" spans="5:19" s="614" customFormat="1" x14ac:dyDescent="0.65">
      <c r="E15" s="686" t="s">
        <v>990</v>
      </c>
      <c r="F15" s="686"/>
      <c r="G15" s="685">
        <v>7.5999999999999998E-2</v>
      </c>
      <c r="H15" s="685"/>
      <c r="I15" s="685"/>
      <c r="J15" s="685"/>
      <c r="K15" s="684">
        <v>0.17100000000000001</v>
      </c>
      <c r="L15" s="683">
        <f>K15/G15-1</f>
        <v>1.2500000000000004</v>
      </c>
      <c r="M15" s="673"/>
    </row>
    <row r="16" spans="5:19" s="614" customFormat="1" x14ac:dyDescent="0.65">
      <c r="E16" s="613" t="s">
        <v>3</v>
      </c>
      <c r="F16" s="613"/>
      <c r="G16" s="677">
        <v>164211304</v>
      </c>
      <c r="H16" s="677"/>
      <c r="I16" s="677"/>
      <c r="J16" s="677"/>
      <c r="K16" s="677">
        <v>894983110</v>
      </c>
      <c r="L16" s="663"/>
      <c r="M16" s="673"/>
      <c r="N16" s="673"/>
    </row>
    <row r="17" spans="5:14" s="614" customFormat="1" x14ac:dyDescent="0.65">
      <c r="E17" s="676" t="s">
        <v>996</v>
      </c>
      <c r="F17" s="676"/>
      <c r="G17" s="682">
        <f>G16/G12</f>
        <v>2.2560561957277319</v>
      </c>
      <c r="H17" s="682"/>
      <c r="I17" s="682"/>
      <c r="J17" s="682"/>
      <c r="K17" s="682">
        <f>K16/K12</f>
        <v>4.290479279885024</v>
      </c>
      <c r="L17" s="681">
        <f>K17/G17-1</f>
        <v>0.90176081961515675</v>
      </c>
      <c r="M17" s="673"/>
      <c r="N17" s="673"/>
    </row>
    <row r="18" spans="5:14" s="614" customFormat="1" x14ac:dyDescent="0.65">
      <c r="E18" s="613" t="s">
        <v>995</v>
      </c>
      <c r="F18" s="613"/>
      <c r="G18" s="677">
        <v>12782657</v>
      </c>
      <c r="H18" s="677">
        <v>15313276</v>
      </c>
      <c r="I18" s="677">
        <v>43371923</v>
      </c>
      <c r="J18" s="677">
        <v>32546885</v>
      </c>
      <c r="K18" s="677">
        <v>157559223</v>
      </c>
      <c r="L18" s="613"/>
      <c r="M18" s="673"/>
      <c r="N18" s="670"/>
    </row>
    <row r="19" spans="5:14" s="614" customFormat="1" x14ac:dyDescent="0.65">
      <c r="E19" s="676" t="s">
        <v>994</v>
      </c>
      <c r="F19" s="676"/>
      <c r="G19" s="679">
        <f>G7/G18</f>
        <v>0.80522625303956763</v>
      </c>
      <c r="H19" s="680"/>
      <c r="I19" s="680"/>
      <c r="J19" s="680"/>
      <c r="K19" s="679">
        <f>K7/K18</f>
        <v>0.85092924709332951</v>
      </c>
      <c r="L19" s="678">
        <f>K19/G19-1</f>
        <v>5.6757953284858997E-2</v>
      </c>
      <c r="M19" s="673"/>
      <c r="N19" s="668"/>
    </row>
    <row r="20" spans="5:14" s="614" customFormat="1" x14ac:dyDescent="0.65">
      <c r="E20" s="613" t="s">
        <v>993</v>
      </c>
      <c r="F20" s="613"/>
      <c r="G20" s="677">
        <v>12517911</v>
      </c>
      <c r="H20" s="677">
        <v>14924729</v>
      </c>
      <c r="I20" s="677">
        <v>41364523</v>
      </c>
      <c r="J20" s="677">
        <v>28864651</v>
      </c>
      <c r="K20" s="677">
        <v>153055838</v>
      </c>
      <c r="L20" s="613"/>
      <c r="M20" s="673"/>
    </row>
    <row r="21" spans="5:14" s="614" customFormat="1" x14ac:dyDescent="0.65">
      <c r="E21" s="676" t="s">
        <v>992</v>
      </c>
      <c r="F21" s="676"/>
      <c r="G21" s="675">
        <f>G18/G20</f>
        <v>1.0211493754828582</v>
      </c>
      <c r="H21" s="675"/>
      <c r="I21" s="675"/>
      <c r="J21" s="675"/>
      <c r="K21" s="675">
        <f>K18/K20</f>
        <v>1.0294231507850096</v>
      </c>
      <c r="L21" s="674">
        <f>K21/G21-1</f>
        <v>8.1024142998069593E-3</v>
      </c>
      <c r="M21" s="673"/>
    </row>
    <row r="22" spans="5:14" s="614" customFormat="1" x14ac:dyDescent="0.65">
      <c r="M22" s="672"/>
    </row>
    <row r="23" spans="5:14" s="614" customFormat="1" x14ac:dyDescent="0.65">
      <c r="J23" s="671"/>
    </row>
    <row r="25" spans="5:14" s="614" customFormat="1" x14ac:dyDescent="0.65">
      <c r="L25" s="670"/>
      <c r="M25" s="669"/>
    </row>
    <row r="26" spans="5:14" s="614" customFormat="1" x14ac:dyDescent="0.65">
      <c r="L26" s="670"/>
      <c r="M26" s="669"/>
    </row>
    <row r="27" spans="5:14" s="614" customFormat="1" x14ac:dyDescent="0.65">
      <c r="L27" s="670"/>
      <c r="M27" s="669"/>
    </row>
    <row r="28" spans="5:14" s="614" customFormat="1" x14ac:dyDescent="0.65">
      <c r="L28" s="670"/>
      <c r="M28" s="669"/>
    </row>
    <row r="30" spans="5:14" s="614" customFormat="1" x14ac:dyDescent="0.65">
      <c r="L30" s="669"/>
      <c r="M30" s="668"/>
    </row>
  </sheetData>
  <mergeCells count="1">
    <mergeCell ref="E5:L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Q86"/>
  <sheetViews>
    <sheetView zoomScale="40" zoomScaleNormal="40" workbookViewId="0">
      <selection activeCell="P37" sqref="P37"/>
    </sheetView>
  </sheetViews>
  <sheetFormatPr defaultRowHeight="19.899999999999999" x14ac:dyDescent="0.65"/>
  <cols>
    <col min="1" max="5" width="8.7265625" style="614"/>
    <col min="6" max="6" width="16.81640625" style="614" customWidth="1"/>
    <col min="7" max="7" width="14" style="614" bestFit="1" customWidth="1"/>
    <col min="8" max="8" width="13.7265625" style="614" bestFit="1" customWidth="1"/>
    <col min="9" max="9" width="14" style="614" bestFit="1" customWidth="1"/>
    <col min="10" max="10" width="13.90625" style="614" customWidth="1"/>
    <col min="11" max="11" width="14" style="614" bestFit="1" customWidth="1"/>
    <col min="12" max="12" width="15.81640625" style="614" bestFit="1" customWidth="1"/>
    <col min="13" max="14" width="8.7265625" style="614"/>
    <col min="15" max="15" width="20.26953125" style="614" bestFit="1" customWidth="1"/>
    <col min="16" max="16" width="16.7265625" style="614" bestFit="1" customWidth="1"/>
    <col min="17" max="16384" width="8.7265625" style="614"/>
  </cols>
  <sheetData>
    <row r="3" spans="6:17" s="614" customFormat="1" x14ac:dyDescent="0.65">
      <c r="F3" s="706" t="s">
        <v>798</v>
      </c>
      <c r="G3" s="706"/>
      <c r="H3" s="706"/>
      <c r="I3" s="706"/>
      <c r="J3" s="706"/>
      <c r="K3" s="706"/>
      <c r="L3" s="706"/>
    </row>
    <row r="4" spans="6:17" s="614" customFormat="1" x14ac:dyDescent="0.65">
      <c r="F4" s="613"/>
      <c r="G4" s="613">
        <v>1394</v>
      </c>
      <c r="H4" s="613">
        <v>1395</v>
      </c>
      <c r="I4" s="613">
        <v>1396</v>
      </c>
      <c r="J4" s="613">
        <v>1397</v>
      </c>
      <c r="K4" s="613">
        <v>1398</v>
      </c>
      <c r="L4" s="613">
        <v>1399</v>
      </c>
      <c r="N4" s="613" t="s">
        <v>1020</v>
      </c>
      <c r="O4" s="613" t="s">
        <v>1019</v>
      </c>
      <c r="P4" s="613" t="s">
        <v>1018</v>
      </c>
      <c r="Q4" s="613" t="s">
        <v>1017</v>
      </c>
    </row>
    <row r="5" spans="6:17" s="614" customFormat="1" x14ac:dyDescent="0.65">
      <c r="F5" s="613" t="s">
        <v>3</v>
      </c>
      <c r="G5" s="677">
        <v>145964129</v>
      </c>
      <c r="H5" s="677">
        <v>164211304</v>
      </c>
      <c r="I5" s="677">
        <v>222311389</v>
      </c>
      <c r="J5" s="677">
        <v>453226514</v>
      </c>
      <c r="K5" s="677">
        <v>720189020</v>
      </c>
      <c r="L5" s="677">
        <v>894983110</v>
      </c>
      <c r="N5" s="613" t="s">
        <v>798</v>
      </c>
      <c r="O5" s="709">
        <f>H7</f>
        <v>0.36600398905285292</v>
      </c>
      <c r="P5" s="709">
        <f>H18</f>
        <v>0.27443545279179754</v>
      </c>
      <c r="Q5" s="708">
        <v>917.56</v>
      </c>
    </row>
    <row r="6" spans="6:17" s="614" customFormat="1" x14ac:dyDescent="0.65">
      <c r="F6" s="613" t="s">
        <v>911</v>
      </c>
      <c r="G6" s="613"/>
      <c r="H6" s="627">
        <f>H5/G5-1</f>
        <v>0.12501136494980902</v>
      </c>
      <c r="I6" s="627">
        <f>I5/H5-1</f>
        <v>0.35381294457049073</v>
      </c>
      <c r="J6" s="627">
        <f>J5/I5-1</f>
        <v>1.0387012830908091</v>
      </c>
      <c r="K6" s="627">
        <f>K5/J5-1</f>
        <v>0.58902667375721984</v>
      </c>
      <c r="L6" s="627">
        <f>L5/K5-1</f>
        <v>0.24270585241635589</v>
      </c>
      <c r="N6" s="613" t="s">
        <v>790</v>
      </c>
      <c r="O6" s="707">
        <f>H24</f>
        <v>0.17847795786026374</v>
      </c>
      <c r="P6" s="707">
        <f>H35</f>
        <v>0.3475900997309273</v>
      </c>
      <c r="Q6" s="708">
        <v>832.66</v>
      </c>
    </row>
    <row r="7" spans="6:17" s="614" customFormat="1" ht="21.5" x14ac:dyDescent="0.75">
      <c r="F7" s="701" t="s">
        <v>1016</v>
      </c>
      <c r="G7" s="701"/>
      <c r="H7" s="705">
        <f>GEOMEAN(H6:L6)</f>
        <v>0.36600398905285292</v>
      </c>
      <c r="I7" s="704"/>
      <c r="J7" s="704"/>
      <c r="K7" s="704"/>
      <c r="L7" s="703"/>
      <c r="N7" s="613" t="s">
        <v>780</v>
      </c>
      <c r="O7" s="707">
        <f>H41</f>
        <v>0.38026493091839447</v>
      </c>
      <c r="P7" s="707">
        <f>H52</f>
        <v>0.34451401698017664</v>
      </c>
      <c r="Q7" s="708">
        <v>365</v>
      </c>
    </row>
    <row r="8" spans="6:17" s="614" customFormat="1" x14ac:dyDescent="0.65">
      <c r="F8" s="613" t="s">
        <v>1015</v>
      </c>
      <c r="G8" s="613"/>
      <c r="H8" s="677">
        <v>12517911</v>
      </c>
      <c r="I8" s="677">
        <v>14924729</v>
      </c>
      <c r="J8" s="677">
        <v>41364523</v>
      </c>
      <c r="K8" s="677">
        <v>28864651</v>
      </c>
      <c r="L8" s="677">
        <v>153055838</v>
      </c>
      <c r="N8" s="613" t="s">
        <v>771</v>
      </c>
      <c r="O8" s="707">
        <f>H58</f>
        <v>0.34338897044878119</v>
      </c>
      <c r="P8" s="707">
        <f>H69</f>
        <v>0.35457098499789175</v>
      </c>
      <c r="Q8" s="708">
        <v>743.07</v>
      </c>
    </row>
    <row r="9" spans="6:17" s="614" customFormat="1" x14ac:dyDescent="0.65">
      <c r="F9" s="613" t="s">
        <v>1014</v>
      </c>
      <c r="G9" s="613"/>
      <c r="H9" s="624">
        <v>0.1947737469604324</v>
      </c>
      <c r="I9" s="624">
        <v>0.1958270065791278</v>
      </c>
      <c r="J9" s="624">
        <v>0.19100130745874469</v>
      </c>
      <c r="K9" s="624">
        <v>0.18946848523291859</v>
      </c>
      <c r="L9" s="624">
        <v>0.14907075290667052</v>
      </c>
      <c r="N9" s="613" t="s">
        <v>759</v>
      </c>
      <c r="O9" s="707">
        <f>H75</f>
        <v>0.26229633255472518</v>
      </c>
      <c r="P9" s="707">
        <f>H86</f>
        <v>0.14914107359712869</v>
      </c>
      <c r="Q9" s="708">
        <v>145.72999999999999</v>
      </c>
    </row>
    <row r="10" spans="6:17" s="614" customFormat="1" x14ac:dyDescent="0.65">
      <c r="F10" s="613" t="s">
        <v>1013</v>
      </c>
      <c r="G10" s="613"/>
      <c r="H10" s="677">
        <f>H8*(1-H9)</f>
        <v>10079750.570412787</v>
      </c>
      <c r="I10" s="677">
        <f>I8*(1-I9)</f>
        <v>12002063.995925302</v>
      </c>
      <c r="J10" s="677">
        <f>J8*(1-J9)</f>
        <v>33463845.024592686</v>
      </c>
      <c r="K10" s="677">
        <f>K8*(1-K9)</f>
        <v>23395709.298253153</v>
      </c>
      <c r="L10" s="677">
        <f>L8*(1-L9)</f>
        <v>130239688.99257861</v>
      </c>
      <c r="N10" s="613" t="s">
        <v>641</v>
      </c>
      <c r="O10" s="707">
        <f>AVERAGE(O5:O9)</f>
        <v>0.30608643616700348</v>
      </c>
      <c r="P10" s="707">
        <f>AVERAGE(P5:P9)</f>
        <v>0.29405032561958439</v>
      </c>
      <c r="Q10" s="613"/>
    </row>
    <row r="11" spans="6:17" s="614" customFormat="1" x14ac:dyDescent="0.65">
      <c r="F11" s="613" t="s">
        <v>1012</v>
      </c>
      <c r="G11" s="677">
        <v>53074564</v>
      </c>
      <c r="H11" s="677">
        <v>40514530</v>
      </c>
      <c r="I11" s="677">
        <v>34180324</v>
      </c>
      <c r="J11" s="677">
        <v>45235721</v>
      </c>
      <c r="K11" s="677">
        <v>67974597</v>
      </c>
      <c r="L11" s="677">
        <v>106490460</v>
      </c>
    </row>
    <row r="12" spans="6:17" s="614" customFormat="1" x14ac:dyDescent="0.65">
      <c r="F12" s="613" t="s">
        <v>1011</v>
      </c>
      <c r="G12" s="613"/>
      <c r="H12" s="702">
        <f>AVERAGE(G11:H11)</f>
        <v>46794547</v>
      </c>
      <c r="I12" s="702">
        <f>AVERAGE(H11:I11)</f>
        <v>37347427</v>
      </c>
      <c r="J12" s="702">
        <f>AVERAGE(I11:J11)</f>
        <v>39708022.5</v>
      </c>
      <c r="K12" s="702">
        <f>AVERAGE(J11:K11)</f>
        <v>56605159</v>
      </c>
      <c r="L12" s="702">
        <f>AVERAGE(K11:L11)</f>
        <v>87232528.5</v>
      </c>
    </row>
    <row r="13" spans="6:17" s="614" customFormat="1" x14ac:dyDescent="0.65">
      <c r="F13" s="613" t="s">
        <v>1010</v>
      </c>
      <c r="G13" s="677">
        <v>23339490</v>
      </c>
      <c r="H13" s="677">
        <v>28645187</v>
      </c>
      <c r="I13" s="677">
        <v>31118531</v>
      </c>
      <c r="J13" s="677">
        <v>57433267</v>
      </c>
      <c r="K13" s="677">
        <v>60353543</v>
      </c>
      <c r="L13" s="677">
        <v>182376334</v>
      </c>
    </row>
    <row r="14" spans="6:17" s="614" customFormat="1" x14ac:dyDescent="0.65">
      <c r="F14" s="613" t="s">
        <v>1009</v>
      </c>
      <c r="G14" s="613"/>
      <c r="H14" s="702">
        <f>AVERAGE(G13:H13)</f>
        <v>25992338.5</v>
      </c>
      <c r="I14" s="702">
        <f>AVERAGE(H13:I13)</f>
        <v>29881859</v>
      </c>
      <c r="J14" s="702">
        <f>AVERAGE(I13:J13)</f>
        <v>44275899</v>
      </c>
      <c r="K14" s="702">
        <f>AVERAGE(J13:K13)</f>
        <v>58893405</v>
      </c>
      <c r="L14" s="702">
        <f>AVERAGE(K13:L13)</f>
        <v>121364938.5</v>
      </c>
    </row>
    <row r="15" spans="6:17" s="614" customFormat="1" x14ac:dyDescent="0.65">
      <c r="F15" s="613" t="s">
        <v>1008</v>
      </c>
      <c r="G15" s="702">
        <v>1666457</v>
      </c>
      <c r="H15" s="702">
        <v>1729951</v>
      </c>
      <c r="I15" s="702">
        <v>1628396</v>
      </c>
      <c r="J15" s="702">
        <v>5912042</v>
      </c>
      <c r="K15" s="702">
        <v>8986624</v>
      </c>
      <c r="L15" s="702">
        <v>15793031</v>
      </c>
    </row>
    <row r="16" spans="6:17" s="614" customFormat="1" x14ac:dyDescent="0.65">
      <c r="F16" s="613" t="s">
        <v>1007</v>
      </c>
      <c r="G16" s="613"/>
      <c r="H16" s="702">
        <f>AVERAGE(G15:H15)</f>
        <v>1698204</v>
      </c>
      <c r="I16" s="702">
        <f>AVERAGE(H15:I15)</f>
        <v>1679173.5</v>
      </c>
      <c r="J16" s="702">
        <f>AVERAGE(I15:J15)</f>
        <v>3770219</v>
      </c>
      <c r="K16" s="702">
        <f>AVERAGE(J15:K15)</f>
        <v>7449333</v>
      </c>
      <c r="L16" s="702">
        <f>AVERAGE(K15:L15)</f>
        <v>12389827.5</v>
      </c>
    </row>
    <row r="17" spans="6:12" s="614" customFormat="1" ht="21.5" x14ac:dyDescent="0.75">
      <c r="F17" s="701" t="s">
        <v>1006</v>
      </c>
      <c r="G17" s="701"/>
      <c r="H17" s="700">
        <f>H10/(H12+H14-H16)</f>
        <v>0.14179121567211492</v>
      </c>
      <c r="I17" s="700">
        <f>I10/(I12+I14-I16)</f>
        <v>0.18309753466746989</v>
      </c>
      <c r="J17" s="700">
        <f>J10/(J12+J14-J16)</f>
        <v>0.4171836479508309</v>
      </c>
      <c r="K17" s="700">
        <f>K10/(K12+K14-K16)</f>
        <v>0.21652823515470604</v>
      </c>
      <c r="L17" s="700">
        <f>L10/(L12+L14-L16)</f>
        <v>0.66378500513268046</v>
      </c>
    </row>
    <row r="18" spans="6:12" s="614" customFormat="1" x14ac:dyDescent="0.65">
      <c r="F18" s="613" t="s">
        <v>1005</v>
      </c>
      <c r="G18" s="613"/>
      <c r="H18" s="699">
        <f>GEOMEAN(H17:L17)</f>
        <v>0.27443545279179754</v>
      </c>
      <c r="I18" s="698"/>
      <c r="J18" s="698"/>
      <c r="K18" s="698"/>
      <c r="L18" s="697"/>
    </row>
    <row r="20" spans="6:12" s="614" customFormat="1" x14ac:dyDescent="0.65">
      <c r="F20" s="706" t="s">
        <v>790</v>
      </c>
      <c r="G20" s="706"/>
      <c r="H20" s="706"/>
      <c r="I20" s="706"/>
      <c r="J20" s="706"/>
      <c r="K20" s="706"/>
      <c r="L20" s="706"/>
    </row>
    <row r="21" spans="6:12" s="614" customFormat="1" x14ac:dyDescent="0.65">
      <c r="F21" s="613"/>
      <c r="G21" s="613">
        <v>1394</v>
      </c>
      <c r="H21" s="613">
        <v>1395</v>
      </c>
      <c r="I21" s="613">
        <v>1396</v>
      </c>
      <c r="J21" s="613">
        <v>1397</v>
      </c>
      <c r="K21" s="613">
        <v>1398</v>
      </c>
      <c r="L21" s="613">
        <v>1399</v>
      </c>
    </row>
    <row r="22" spans="6:12" s="614" customFormat="1" x14ac:dyDescent="0.65">
      <c r="F22" s="613" t="s">
        <v>3</v>
      </c>
      <c r="G22" s="677">
        <v>193441191</v>
      </c>
      <c r="H22" s="677">
        <v>194021776</v>
      </c>
      <c r="I22" s="677">
        <v>250853149</v>
      </c>
      <c r="J22" s="677">
        <v>485390122</v>
      </c>
      <c r="K22" s="677">
        <v>866331631</v>
      </c>
      <c r="L22" s="677">
        <v>1109548371</v>
      </c>
    </row>
    <row r="23" spans="6:12" s="614" customFormat="1" x14ac:dyDescent="0.65">
      <c r="F23" s="613" t="s">
        <v>911</v>
      </c>
      <c r="G23" s="613"/>
      <c r="H23" s="624">
        <f>H22/G22-1</f>
        <v>3.0013514546651798E-3</v>
      </c>
      <c r="I23" s="627">
        <f>I22/H22-1</f>
        <v>0.29291234299391222</v>
      </c>
      <c r="J23" s="627">
        <f>J22/I22-1</f>
        <v>0.93495726059233175</v>
      </c>
      <c r="K23" s="627">
        <f>K22/J22-1</f>
        <v>0.78481512444128398</v>
      </c>
      <c r="L23" s="627">
        <f>L22/K22-1</f>
        <v>0.28074322960972431</v>
      </c>
    </row>
    <row r="24" spans="6:12" s="614" customFormat="1" ht="21.5" x14ac:dyDescent="0.75">
      <c r="F24" s="701" t="s">
        <v>1016</v>
      </c>
      <c r="G24" s="701"/>
      <c r="H24" s="705">
        <f>GEOMEAN(H23:L23)</f>
        <v>0.17847795786026374</v>
      </c>
      <c r="I24" s="704"/>
      <c r="J24" s="704"/>
      <c r="K24" s="704"/>
      <c r="L24" s="703"/>
    </row>
    <row r="25" spans="6:12" s="614" customFormat="1" x14ac:dyDescent="0.65">
      <c r="F25" s="613" t="s">
        <v>1015</v>
      </c>
      <c r="G25" s="613"/>
      <c r="H25" s="677">
        <v>16575211</v>
      </c>
      <c r="I25" s="677">
        <v>22394333</v>
      </c>
      <c r="J25" s="677">
        <v>59696449</v>
      </c>
      <c r="K25" s="677">
        <v>27588154</v>
      </c>
      <c r="L25" s="677">
        <v>158600717</v>
      </c>
    </row>
    <row r="26" spans="6:12" s="614" customFormat="1" x14ac:dyDescent="0.65">
      <c r="F26" s="613" t="s">
        <v>1014</v>
      </c>
      <c r="G26" s="613"/>
      <c r="H26" s="624">
        <v>0.22566342503307937</v>
      </c>
      <c r="I26" s="624">
        <v>0.21700039767616841</v>
      </c>
      <c r="J26" s="624">
        <v>0.15179822353672512</v>
      </c>
      <c r="K26" s="624">
        <v>0.10086692049918497</v>
      </c>
      <c r="L26" s="624">
        <v>0.104605983931765</v>
      </c>
    </row>
    <row r="27" spans="6:12" s="614" customFormat="1" x14ac:dyDescent="0.65">
      <c r="F27" s="613" t="s">
        <v>1013</v>
      </c>
      <c r="H27" s="677">
        <f>H25*(1-H26)</f>
        <v>12834792.115094028</v>
      </c>
      <c r="I27" s="677">
        <f>I25*(1-I26)</f>
        <v>17534753.83330746</v>
      </c>
      <c r="J27" s="677">
        <f>J25*(1-J26)</f>
        <v>50634634.090349287</v>
      </c>
      <c r="K27" s="677">
        <f>K25*(1-K26)</f>
        <v>24805421.863762729</v>
      </c>
      <c r="L27" s="677">
        <f>L25*(1-L26)</f>
        <v>142010132.94593158</v>
      </c>
    </row>
    <row r="28" spans="6:12" s="614" customFormat="1" x14ac:dyDescent="0.65">
      <c r="F28" s="613" t="s">
        <v>1012</v>
      </c>
      <c r="G28" s="677">
        <v>24331048</v>
      </c>
      <c r="H28" s="677">
        <v>23748543</v>
      </c>
      <c r="I28" s="677">
        <v>29975164</v>
      </c>
      <c r="J28" s="677">
        <v>28131559</v>
      </c>
      <c r="K28" s="677">
        <v>75292836</v>
      </c>
      <c r="L28" s="677">
        <v>71072238</v>
      </c>
    </row>
    <row r="29" spans="6:12" s="614" customFormat="1" x14ac:dyDescent="0.65">
      <c r="F29" s="613" t="s">
        <v>1011</v>
      </c>
      <c r="H29" s="702">
        <f>AVERAGE(G28:H28)</f>
        <v>24039795.5</v>
      </c>
      <c r="I29" s="702">
        <f>AVERAGE(H28:I28)</f>
        <v>26861853.5</v>
      </c>
      <c r="J29" s="702">
        <f>AVERAGE(I28:J28)</f>
        <v>29053361.5</v>
      </c>
      <c r="K29" s="702">
        <f>AVERAGE(J28:K28)</f>
        <v>51712197.5</v>
      </c>
      <c r="L29" s="702">
        <f>AVERAGE(K28:L28)</f>
        <v>73182537</v>
      </c>
    </row>
    <row r="30" spans="6:12" s="614" customFormat="1" x14ac:dyDescent="0.65">
      <c r="F30" s="613" t="s">
        <v>1010</v>
      </c>
      <c r="G30" s="677">
        <v>26876838</v>
      </c>
      <c r="H30" s="677">
        <v>34300740</v>
      </c>
      <c r="I30" s="677">
        <v>46386365</v>
      </c>
      <c r="J30" s="677">
        <v>91160309</v>
      </c>
      <c r="K30" s="677">
        <v>103684940</v>
      </c>
      <c r="L30" s="677">
        <v>224981105</v>
      </c>
    </row>
    <row r="31" spans="6:12" s="614" customFormat="1" x14ac:dyDescent="0.65">
      <c r="F31" s="613" t="s">
        <v>1009</v>
      </c>
      <c r="G31" s="613"/>
      <c r="H31" s="702">
        <f>AVERAGE(G30:H30)</f>
        <v>30588789</v>
      </c>
      <c r="I31" s="702">
        <f>AVERAGE(H30:I30)</f>
        <v>40343552.5</v>
      </c>
      <c r="J31" s="702">
        <f>AVERAGE(I30:J30)</f>
        <v>68773337</v>
      </c>
      <c r="K31" s="702">
        <f>AVERAGE(J30:K30)</f>
        <v>97422624.5</v>
      </c>
      <c r="L31" s="702">
        <f>AVERAGE(K30:L30)</f>
        <v>164333022.5</v>
      </c>
    </row>
    <row r="32" spans="6:12" s="614" customFormat="1" x14ac:dyDescent="0.65">
      <c r="F32" s="613" t="s">
        <v>1008</v>
      </c>
      <c r="G32" s="702">
        <v>9405601</v>
      </c>
      <c r="H32" s="702">
        <v>1783502</v>
      </c>
      <c r="I32" s="702">
        <v>1496227</v>
      </c>
      <c r="J32" s="702">
        <v>4802660</v>
      </c>
      <c r="K32" s="702">
        <v>31019621</v>
      </c>
      <c r="L32" s="702">
        <v>47857538</v>
      </c>
    </row>
    <row r="33" spans="6:12" s="614" customFormat="1" x14ac:dyDescent="0.65">
      <c r="F33" s="613" t="s">
        <v>1007</v>
      </c>
      <c r="G33" s="613"/>
      <c r="H33" s="702">
        <f>AVERAGE(G32:H32)</f>
        <v>5594551.5</v>
      </c>
      <c r="I33" s="702">
        <f>AVERAGE(H32:I32)</f>
        <v>1639864.5</v>
      </c>
      <c r="J33" s="702">
        <f>AVERAGE(I32:J32)</f>
        <v>3149443.5</v>
      </c>
      <c r="K33" s="702">
        <f>AVERAGE(J32:K32)</f>
        <v>17911140.5</v>
      </c>
      <c r="L33" s="702">
        <f>AVERAGE(K32:L32)</f>
        <v>39438579.5</v>
      </c>
    </row>
    <row r="34" spans="6:12" s="614" customFormat="1" ht="21.5" x14ac:dyDescent="0.75">
      <c r="F34" s="701" t="s">
        <v>1006</v>
      </c>
      <c r="G34" s="701"/>
      <c r="H34" s="700">
        <f>H27/(H29+H31-H33)</f>
        <v>0.26175273233376556</v>
      </c>
      <c r="I34" s="700">
        <f>I27/(I29+I31-I33)</f>
        <v>0.26743855739081268</v>
      </c>
      <c r="J34" s="700">
        <f>J27/(J29+J31-J33)</f>
        <v>0.53481307723116056</v>
      </c>
      <c r="K34" s="700">
        <f>K27/(K29+K31-K33)</f>
        <v>0.18903159536613617</v>
      </c>
      <c r="L34" s="700">
        <f>L27/(L29+L31-L33)</f>
        <v>0.7169441544692956</v>
      </c>
    </row>
    <row r="35" spans="6:12" s="614" customFormat="1" x14ac:dyDescent="0.65">
      <c r="F35" s="613" t="s">
        <v>1005</v>
      </c>
      <c r="G35" s="613"/>
      <c r="H35" s="699">
        <f>GEOMEAN(H34:L34)</f>
        <v>0.3475900997309273</v>
      </c>
      <c r="I35" s="698"/>
      <c r="J35" s="698"/>
      <c r="K35" s="698"/>
      <c r="L35" s="697"/>
    </row>
    <row r="37" spans="6:12" s="614" customFormat="1" x14ac:dyDescent="0.65">
      <c r="F37" s="706" t="s">
        <v>780</v>
      </c>
      <c r="G37" s="706"/>
      <c r="H37" s="706"/>
      <c r="I37" s="706"/>
      <c r="J37" s="706"/>
      <c r="K37" s="706"/>
      <c r="L37" s="706"/>
    </row>
    <row r="38" spans="6:12" s="614" customFormat="1" x14ac:dyDescent="0.65">
      <c r="F38" s="613"/>
      <c r="G38" s="613">
        <v>1394</v>
      </c>
      <c r="H38" s="613">
        <v>1395</v>
      </c>
      <c r="I38" s="613">
        <v>1396</v>
      </c>
      <c r="J38" s="613">
        <v>1397</v>
      </c>
      <c r="K38" s="613">
        <v>1398</v>
      </c>
      <c r="L38" s="613">
        <v>1399</v>
      </c>
    </row>
    <row r="39" spans="6:12" s="614" customFormat="1" x14ac:dyDescent="0.65">
      <c r="F39" s="613" t="s">
        <v>3</v>
      </c>
      <c r="G39" s="677">
        <v>55041700</v>
      </c>
      <c r="H39" s="677">
        <v>60934401</v>
      </c>
      <c r="I39" s="677">
        <v>82017675</v>
      </c>
      <c r="J39" s="677">
        <v>171496684</v>
      </c>
      <c r="K39" s="677">
        <v>258119406</v>
      </c>
      <c r="L39" s="677">
        <v>358665256</v>
      </c>
    </row>
    <row r="40" spans="6:12" s="614" customFormat="1" x14ac:dyDescent="0.65">
      <c r="F40" s="613" t="s">
        <v>911</v>
      </c>
      <c r="G40" s="613"/>
      <c r="H40" s="624">
        <f>H39/G39-1</f>
        <v>0.1070588481097059</v>
      </c>
      <c r="I40" s="627">
        <f>I39/H39-1</f>
        <v>0.34599952824677804</v>
      </c>
      <c r="J40" s="627">
        <f>J39/I39-1</f>
        <v>1.0909722690871204</v>
      </c>
      <c r="K40" s="627">
        <f>K39/J39-1</f>
        <v>0.50509852423735491</v>
      </c>
      <c r="L40" s="627">
        <f>L39/K39-1</f>
        <v>0.3895323159080879</v>
      </c>
    </row>
    <row r="41" spans="6:12" s="614" customFormat="1" ht="21.5" x14ac:dyDescent="0.75">
      <c r="F41" s="701" t="s">
        <v>1016</v>
      </c>
      <c r="G41" s="701"/>
      <c r="H41" s="705">
        <f>GEOMEAN(H40:L40)</f>
        <v>0.38026493091839447</v>
      </c>
      <c r="I41" s="704"/>
      <c r="J41" s="704"/>
      <c r="K41" s="704"/>
      <c r="L41" s="703"/>
    </row>
    <row r="42" spans="6:12" s="614" customFormat="1" x14ac:dyDescent="0.65">
      <c r="F42" s="613" t="s">
        <v>1015</v>
      </c>
      <c r="G42" s="613"/>
      <c r="H42" s="677">
        <v>5678688</v>
      </c>
      <c r="I42" s="677">
        <v>7539783</v>
      </c>
      <c r="J42" s="677">
        <v>20546523</v>
      </c>
      <c r="K42" s="677">
        <v>12782070</v>
      </c>
      <c r="L42" s="677">
        <v>57541469</v>
      </c>
    </row>
    <row r="43" spans="6:12" s="614" customFormat="1" x14ac:dyDescent="0.65">
      <c r="F43" s="613" t="s">
        <v>1014</v>
      </c>
      <c r="G43" s="613"/>
      <c r="H43" s="624">
        <v>0.181817518635602</v>
      </c>
      <c r="I43" s="624">
        <v>0.22199885575432035</v>
      </c>
      <c r="J43" s="624">
        <v>0.2016280336286774</v>
      </c>
      <c r="K43" s="624">
        <v>0.19928924141709922</v>
      </c>
      <c r="L43" s="624">
        <v>0.11047297914221189</v>
      </c>
    </row>
    <row r="44" spans="6:12" s="614" customFormat="1" x14ac:dyDescent="0.65">
      <c r="F44" s="613" t="s">
        <v>1013</v>
      </c>
      <c r="H44" s="677">
        <f>H42*(1-H43)</f>
        <v>4646203.0387342302</v>
      </c>
      <c r="I44" s="677">
        <f>I42*(1-I43)</f>
        <v>5865959.8013641238</v>
      </c>
      <c r="J44" s="677">
        <f>J42*(1-J43)</f>
        <v>16403767.969603606</v>
      </c>
      <c r="K44" s="677">
        <f>K42*(1-K43)</f>
        <v>10234740.965959739</v>
      </c>
      <c r="L44" s="677">
        <f>L42*(1-L43)</f>
        <v>51184691.495350771</v>
      </c>
    </row>
    <row r="45" spans="6:12" s="614" customFormat="1" x14ac:dyDescent="0.65">
      <c r="F45" s="613" t="s">
        <v>1012</v>
      </c>
      <c r="G45" s="677">
        <v>22756233</v>
      </c>
      <c r="H45" s="677">
        <v>18956589</v>
      </c>
      <c r="I45" s="677">
        <v>21483173</v>
      </c>
      <c r="J45" s="677">
        <v>17763310</v>
      </c>
      <c r="K45" s="677">
        <v>13739904</v>
      </c>
      <c r="L45" s="677">
        <v>21158209</v>
      </c>
    </row>
    <row r="46" spans="6:12" s="614" customFormat="1" x14ac:dyDescent="0.65">
      <c r="F46" s="613" t="s">
        <v>1011</v>
      </c>
      <c r="H46" s="702">
        <f>AVERAGE(G45:H45)</f>
        <v>20856411</v>
      </c>
      <c r="I46" s="702">
        <f>AVERAGE(H45:I45)</f>
        <v>20219881</v>
      </c>
      <c r="J46" s="702">
        <f>AVERAGE(I45:J45)</f>
        <v>19623241.5</v>
      </c>
      <c r="K46" s="702">
        <f>AVERAGE(J45:K45)</f>
        <v>15751607</v>
      </c>
      <c r="L46" s="702">
        <f>AVERAGE(K45:L45)</f>
        <v>17449056.5</v>
      </c>
    </row>
    <row r="47" spans="6:12" s="614" customFormat="1" x14ac:dyDescent="0.65">
      <c r="F47" s="613" t="s">
        <v>1010</v>
      </c>
      <c r="G47" s="677">
        <v>1214304</v>
      </c>
      <c r="H47" s="677">
        <v>4144074</v>
      </c>
      <c r="I47" s="677">
        <v>8402553</v>
      </c>
      <c r="J47" s="677">
        <v>24182434</v>
      </c>
      <c r="K47" s="677">
        <v>24908323</v>
      </c>
      <c r="L47" s="677">
        <v>73421898</v>
      </c>
    </row>
    <row r="48" spans="6:12" s="614" customFormat="1" x14ac:dyDescent="0.65">
      <c r="F48" s="613" t="s">
        <v>1009</v>
      </c>
      <c r="G48" s="613"/>
      <c r="H48" s="702">
        <f>AVERAGE(G47:H47)</f>
        <v>2679189</v>
      </c>
      <c r="I48" s="702">
        <f>AVERAGE(H47:I47)</f>
        <v>6273313.5</v>
      </c>
      <c r="J48" s="702">
        <f>AVERAGE(I47:J47)</f>
        <v>16292493.5</v>
      </c>
      <c r="K48" s="702">
        <f>AVERAGE(J47:K47)</f>
        <v>24545378.5</v>
      </c>
      <c r="L48" s="702">
        <f>AVERAGE(K47:L47)</f>
        <v>49165110.5</v>
      </c>
    </row>
    <row r="49" spans="6:12" s="614" customFormat="1" x14ac:dyDescent="0.65">
      <c r="F49" s="613" t="s">
        <v>1008</v>
      </c>
      <c r="G49" s="702">
        <v>735942</v>
      </c>
      <c r="H49" s="702">
        <v>209637</v>
      </c>
      <c r="I49" s="702">
        <v>524387</v>
      </c>
      <c r="J49" s="702">
        <v>3376679</v>
      </c>
      <c r="K49" s="702">
        <v>2376460</v>
      </c>
      <c r="L49" s="702">
        <v>4825238</v>
      </c>
    </row>
    <row r="50" spans="6:12" s="614" customFormat="1" x14ac:dyDescent="0.65">
      <c r="F50" s="613" t="s">
        <v>1007</v>
      </c>
      <c r="G50" s="613"/>
      <c r="H50" s="702">
        <f>AVERAGE(G49:H49)</f>
        <v>472789.5</v>
      </c>
      <c r="I50" s="702">
        <f>AVERAGE(H49:I49)</f>
        <v>367012</v>
      </c>
      <c r="J50" s="702">
        <f>AVERAGE(I49:J49)</f>
        <v>1950533</v>
      </c>
      <c r="K50" s="702">
        <f>AVERAGE(J49:K49)</f>
        <v>2876569.5</v>
      </c>
      <c r="L50" s="702">
        <f>AVERAGE(K49:L49)</f>
        <v>3600849</v>
      </c>
    </row>
    <row r="51" spans="6:12" s="614" customFormat="1" ht="21.5" x14ac:dyDescent="0.75">
      <c r="F51" s="701" t="s">
        <v>1006</v>
      </c>
      <c r="G51" s="701"/>
      <c r="H51" s="700">
        <f>H44/(H46+H48-H50)</f>
        <v>0.20145866605174725</v>
      </c>
      <c r="I51" s="700">
        <f>I44/(I46+I48-I50)</f>
        <v>0.22452418379011643</v>
      </c>
      <c r="J51" s="700">
        <f>J44/(J46+J48-J50)</f>
        <v>0.48295805717874446</v>
      </c>
      <c r="K51" s="700">
        <f>K44/(K46+K48-K50)</f>
        <v>0.27350687298505016</v>
      </c>
      <c r="L51" s="700">
        <f>L44/(L46+L48-L50)</f>
        <v>0.81228370636427638</v>
      </c>
    </row>
    <row r="52" spans="6:12" s="614" customFormat="1" x14ac:dyDescent="0.65">
      <c r="F52" s="613" t="s">
        <v>1005</v>
      </c>
      <c r="G52" s="613"/>
      <c r="H52" s="699">
        <f>GEOMEAN(H51:L51)</f>
        <v>0.34451401698017664</v>
      </c>
      <c r="I52" s="698"/>
      <c r="J52" s="698"/>
      <c r="K52" s="698"/>
      <c r="L52" s="697"/>
    </row>
    <row r="54" spans="6:12" s="614" customFormat="1" x14ac:dyDescent="0.65">
      <c r="F54" s="706" t="s">
        <v>771</v>
      </c>
      <c r="G54" s="706"/>
      <c r="H54" s="706"/>
      <c r="I54" s="706"/>
      <c r="J54" s="706"/>
      <c r="K54" s="706"/>
      <c r="L54" s="706"/>
    </row>
    <row r="55" spans="6:12" s="614" customFormat="1" x14ac:dyDescent="0.65">
      <c r="F55" s="613"/>
      <c r="G55" s="613">
        <v>1394</v>
      </c>
      <c r="H55" s="613">
        <v>1395</v>
      </c>
      <c r="I55" s="613">
        <v>1396</v>
      </c>
      <c r="J55" s="613">
        <v>1397</v>
      </c>
      <c r="K55" s="613">
        <v>1398</v>
      </c>
      <c r="L55" s="613">
        <v>1399</v>
      </c>
    </row>
    <row r="56" spans="6:12" s="614" customFormat="1" x14ac:dyDescent="0.65">
      <c r="F56" s="613" t="s">
        <v>3</v>
      </c>
      <c r="G56" s="677">
        <v>121087592</v>
      </c>
      <c r="H56" s="677">
        <v>130867017</v>
      </c>
      <c r="I56" s="677">
        <v>179720032</v>
      </c>
      <c r="J56" s="677">
        <v>367994198</v>
      </c>
      <c r="K56" s="677">
        <v>561728170</v>
      </c>
      <c r="L56" s="677">
        <v>723024323</v>
      </c>
    </row>
    <row r="57" spans="6:12" s="614" customFormat="1" x14ac:dyDescent="0.65">
      <c r="F57" s="613" t="s">
        <v>911</v>
      </c>
      <c r="G57" s="613"/>
      <c r="H57" s="624">
        <f>H56/G56-1</f>
        <v>8.076322964618865E-2</v>
      </c>
      <c r="I57" s="627">
        <f>I56/H56-1</f>
        <v>0.37330273219263499</v>
      </c>
      <c r="J57" s="627">
        <f>J56/I56-1</f>
        <v>1.0475969979796131</v>
      </c>
      <c r="K57" s="627">
        <f>K56/J56-1</f>
        <v>0.52645931118729217</v>
      </c>
      <c r="L57" s="627">
        <f>L56/K56-1</f>
        <v>0.28714271709036776</v>
      </c>
    </row>
    <row r="58" spans="6:12" s="614" customFormat="1" ht="21.5" x14ac:dyDescent="0.75">
      <c r="F58" s="701" t="s">
        <v>1016</v>
      </c>
      <c r="G58" s="701"/>
      <c r="H58" s="705">
        <f>GEOMEAN(H57:L57)</f>
        <v>0.34338897044878119</v>
      </c>
      <c r="I58" s="704"/>
      <c r="J58" s="704"/>
      <c r="K58" s="704"/>
      <c r="L58" s="703"/>
    </row>
    <row r="59" spans="6:12" s="614" customFormat="1" x14ac:dyDescent="0.65">
      <c r="F59" s="613" t="s">
        <v>1015</v>
      </c>
      <c r="G59" s="613"/>
      <c r="H59" s="677">
        <v>10385702</v>
      </c>
      <c r="I59" s="677">
        <v>14373410</v>
      </c>
      <c r="J59" s="677">
        <v>37227681</v>
      </c>
      <c r="K59" s="677">
        <v>27347292</v>
      </c>
      <c r="L59" s="677">
        <v>104755463</v>
      </c>
    </row>
    <row r="60" spans="6:12" s="614" customFormat="1" x14ac:dyDescent="0.65">
      <c r="F60" s="613" t="s">
        <v>1014</v>
      </c>
      <c r="G60" s="613"/>
      <c r="H60" s="624">
        <v>0.17853841634294024</v>
      </c>
      <c r="I60" s="624">
        <v>0.15110382510182285</v>
      </c>
      <c r="J60" s="624">
        <v>0.13028356896647661</v>
      </c>
      <c r="K60" s="624">
        <v>0.15507453649811045</v>
      </c>
      <c r="L60" s="624">
        <v>9.6935992033611723E-2</v>
      </c>
    </row>
    <row r="61" spans="6:12" s="614" customFormat="1" x14ac:dyDescent="0.65">
      <c r="F61" s="613" t="s">
        <v>1013</v>
      </c>
      <c r="H61" s="677">
        <f>H59*(1-H60)</f>
        <v>8531455.2123102937</v>
      </c>
      <c r="I61" s="677">
        <f>I59*(1-I60)</f>
        <v>12201532.769243209</v>
      </c>
      <c r="J61" s="677">
        <f>J59*(1-J60)</f>
        <v>32377525.854974508</v>
      </c>
      <c r="K61" s="677">
        <f>K59*(1-K60)</f>
        <v>23106423.368621517</v>
      </c>
      <c r="L61" s="677">
        <f>L59*(1-L60)</f>
        <v>94600888.273154691</v>
      </c>
    </row>
    <row r="62" spans="6:12" s="614" customFormat="1" x14ac:dyDescent="0.65">
      <c r="F62" s="613" t="s">
        <v>1012</v>
      </c>
      <c r="G62" s="677">
        <v>15587369</v>
      </c>
      <c r="H62" s="677">
        <v>13106815</v>
      </c>
      <c r="I62" s="677">
        <v>12720639</v>
      </c>
      <c r="J62" s="677">
        <v>24689675</v>
      </c>
      <c r="K62" s="677">
        <v>48805916</v>
      </c>
      <c r="L62" s="677">
        <v>45574228</v>
      </c>
    </row>
    <row r="63" spans="6:12" s="614" customFormat="1" x14ac:dyDescent="0.65">
      <c r="F63" s="613" t="s">
        <v>1011</v>
      </c>
      <c r="H63" s="702">
        <f>AVERAGE(G62:H62)</f>
        <v>14347092</v>
      </c>
      <c r="I63" s="702">
        <f>AVERAGE(H62:I62)</f>
        <v>12913727</v>
      </c>
      <c r="J63" s="702">
        <f>AVERAGE(I62:J62)</f>
        <v>18705157</v>
      </c>
      <c r="K63" s="702">
        <f>AVERAGE(J62:K62)</f>
        <v>36747795.5</v>
      </c>
      <c r="L63" s="702">
        <f>AVERAGE(K62:L62)</f>
        <v>47190072</v>
      </c>
    </row>
    <row r="64" spans="6:12" s="614" customFormat="1" x14ac:dyDescent="0.65">
      <c r="F64" s="613" t="s">
        <v>1010</v>
      </c>
      <c r="G64" s="677">
        <v>18641781</v>
      </c>
      <c r="H64" s="677">
        <v>20382225</v>
      </c>
      <c r="I64" s="677">
        <v>31659897</v>
      </c>
      <c r="J64" s="677">
        <v>63795322</v>
      </c>
      <c r="K64" s="677">
        <v>89350587</v>
      </c>
      <c r="L64" s="677">
        <v>189164318</v>
      </c>
    </row>
    <row r="65" spans="6:12" s="614" customFormat="1" x14ac:dyDescent="0.65">
      <c r="F65" s="613" t="s">
        <v>1009</v>
      </c>
      <c r="G65" s="613"/>
      <c r="H65" s="702">
        <f>AVERAGE(G64:H64)</f>
        <v>19512003</v>
      </c>
      <c r="I65" s="702">
        <f>AVERAGE(H64:I64)</f>
        <v>26021061</v>
      </c>
      <c r="J65" s="702">
        <f>AVERAGE(I64:J64)</f>
        <v>47727609.5</v>
      </c>
      <c r="K65" s="702">
        <f>AVERAGE(J64:K64)</f>
        <v>76572954.5</v>
      </c>
      <c r="L65" s="702">
        <f>AVERAGE(K64:L64)</f>
        <v>139257452.5</v>
      </c>
    </row>
    <row r="66" spans="6:12" s="614" customFormat="1" x14ac:dyDescent="0.65">
      <c r="F66" s="613" t="s">
        <v>1008</v>
      </c>
      <c r="G66" s="702">
        <v>2505473</v>
      </c>
      <c r="H66" s="702">
        <v>2291658</v>
      </c>
      <c r="I66" s="702">
        <v>2247086</v>
      </c>
      <c r="J66" s="702">
        <v>8439539</v>
      </c>
      <c r="K66" s="702">
        <v>9756918</v>
      </c>
      <c r="L66" s="702">
        <v>5146670</v>
      </c>
    </row>
    <row r="67" spans="6:12" s="614" customFormat="1" x14ac:dyDescent="0.65">
      <c r="F67" s="613" t="s">
        <v>1007</v>
      </c>
      <c r="G67" s="613"/>
      <c r="H67" s="702">
        <f>AVERAGE(G66:H66)</f>
        <v>2398565.5</v>
      </c>
      <c r="I67" s="702">
        <f>AVERAGE(H66:I66)</f>
        <v>2269372</v>
      </c>
      <c r="J67" s="702">
        <f>AVERAGE(I66:J66)</f>
        <v>5343312.5</v>
      </c>
      <c r="K67" s="702">
        <f>AVERAGE(J66:K66)</f>
        <v>9098228.5</v>
      </c>
      <c r="L67" s="702">
        <f>AVERAGE(K66:L66)</f>
        <v>7451794</v>
      </c>
    </row>
    <row r="68" spans="6:12" s="614" customFormat="1" ht="21.5" x14ac:dyDescent="0.75">
      <c r="F68" s="701" t="s">
        <v>1006</v>
      </c>
      <c r="G68" s="701"/>
      <c r="H68" s="700">
        <f>H61/(H63+H65-H67)</f>
        <v>0.27117964471355427</v>
      </c>
      <c r="I68" s="700">
        <f>I61/(I63+I65-I67)</f>
        <v>0.33278042636263033</v>
      </c>
      <c r="J68" s="700">
        <f>J61/(J63+J65-J67)</f>
        <v>0.53000188633171463</v>
      </c>
      <c r="K68" s="700">
        <f>K61/(K63+K65-K67)</f>
        <v>0.22170278588607661</v>
      </c>
      <c r="L68" s="700">
        <f>L61/(L63+L65-L67)</f>
        <v>0.5285091885091342</v>
      </c>
    </row>
    <row r="69" spans="6:12" s="614" customFormat="1" x14ac:dyDescent="0.65">
      <c r="F69" s="613" t="s">
        <v>1005</v>
      </c>
      <c r="G69" s="613"/>
      <c r="H69" s="699">
        <f>GEOMEAN(H68:L68)</f>
        <v>0.35457098499789175</v>
      </c>
      <c r="I69" s="698"/>
      <c r="J69" s="698"/>
      <c r="K69" s="698"/>
      <c r="L69" s="697"/>
    </row>
    <row r="71" spans="6:12" s="614" customFormat="1" x14ac:dyDescent="0.65">
      <c r="F71" s="706" t="s">
        <v>759</v>
      </c>
      <c r="G71" s="706"/>
      <c r="H71" s="706"/>
      <c r="I71" s="706"/>
      <c r="J71" s="706"/>
      <c r="K71" s="706"/>
      <c r="L71" s="706"/>
    </row>
    <row r="72" spans="6:12" s="614" customFormat="1" x14ac:dyDescent="0.65">
      <c r="F72" s="613"/>
      <c r="G72" s="613">
        <v>1394</v>
      </c>
      <c r="H72" s="613">
        <v>1395</v>
      </c>
      <c r="I72" s="613">
        <v>1396</v>
      </c>
      <c r="J72" s="613">
        <v>1397</v>
      </c>
      <c r="K72" s="613">
        <v>1398</v>
      </c>
      <c r="L72" s="613">
        <v>1399</v>
      </c>
    </row>
    <row r="73" spans="6:12" s="614" customFormat="1" x14ac:dyDescent="0.65">
      <c r="F73" s="613" t="s">
        <v>3</v>
      </c>
      <c r="G73" s="677">
        <v>28129394</v>
      </c>
      <c r="H73" s="677">
        <v>29013288</v>
      </c>
      <c r="I73" s="677">
        <v>39385591</v>
      </c>
      <c r="J73" s="677">
        <v>68775268</v>
      </c>
      <c r="K73" s="677">
        <v>113386766</v>
      </c>
      <c r="L73" s="677">
        <v>139276849</v>
      </c>
    </row>
    <row r="74" spans="6:12" s="614" customFormat="1" x14ac:dyDescent="0.65">
      <c r="F74" s="613" t="s">
        <v>911</v>
      </c>
      <c r="G74" s="613"/>
      <c r="H74" s="624">
        <f>H73/G73-1</f>
        <v>3.1422433060591448E-2</v>
      </c>
      <c r="I74" s="627">
        <f>I73/H73-1</f>
        <v>0.35750181089437372</v>
      </c>
      <c r="J74" s="627">
        <f>J73/I73-1</f>
        <v>0.74620378300277368</v>
      </c>
      <c r="K74" s="627">
        <f>K73/J73-1</f>
        <v>0.64865611283404956</v>
      </c>
      <c r="L74" s="627">
        <f>L73/K73-1</f>
        <v>0.22833425728007795</v>
      </c>
    </row>
    <row r="75" spans="6:12" s="614" customFormat="1" ht="21.5" x14ac:dyDescent="0.75">
      <c r="F75" s="701" t="s">
        <v>1016</v>
      </c>
      <c r="G75" s="701"/>
      <c r="H75" s="705">
        <f>GEOMEAN(H74:L74)</f>
        <v>0.26229633255472518</v>
      </c>
      <c r="I75" s="704"/>
      <c r="J75" s="704"/>
      <c r="K75" s="704"/>
      <c r="L75" s="703"/>
    </row>
    <row r="76" spans="6:12" s="614" customFormat="1" x14ac:dyDescent="0.65">
      <c r="F76" s="613" t="s">
        <v>1015</v>
      </c>
      <c r="G76" s="613"/>
      <c r="H76" s="677">
        <v>1207089</v>
      </c>
      <c r="I76" s="677">
        <v>2249434</v>
      </c>
      <c r="J76" s="677">
        <v>3778270</v>
      </c>
      <c r="K76" s="677">
        <v>3326997</v>
      </c>
      <c r="L76" s="677">
        <v>24304792</v>
      </c>
    </row>
    <row r="77" spans="6:12" s="614" customFormat="1" x14ac:dyDescent="0.65">
      <c r="F77" s="613" t="s">
        <v>1014</v>
      </c>
      <c r="G77" s="613"/>
      <c r="H77" s="624">
        <v>9.0741583013104025E-3</v>
      </c>
      <c r="I77" s="624">
        <v>0.15612166428442362</v>
      </c>
      <c r="J77" s="624">
        <v>0.16942610044578316</v>
      </c>
      <c r="K77" s="624">
        <v>0.19492933611430846</v>
      </c>
      <c r="L77" s="624">
        <v>0.13999324552742207</v>
      </c>
    </row>
    <row r="78" spans="6:12" s="614" customFormat="1" x14ac:dyDescent="0.65">
      <c r="F78" s="613" t="s">
        <v>1013</v>
      </c>
      <c r="H78" s="677">
        <f>H76*(1-H77)</f>
        <v>1196135.6833302295</v>
      </c>
      <c r="I78" s="677">
        <f>I76*(1-I77)</f>
        <v>1898248.6202220318</v>
      </c>
      <c r="J78" s="677">
        <f>J76*(1-J77)</f>
        <v>3138132.4474687111</v>
      </c>
      <c r="K78" s="677">
        <f>K76*(1-K77)</f>
        <v>2678467.6835357039</v>
      </c>
      <c r="L78" s="677">
        <f>L76*(1-L77)</f>
        <v>20902285.286051076</v>
      </c>
    </row>
    <row r="79" spans="6:12" s="614" customFormat="1" x14ac:dyDescent="0.65">
      <c r="F79" s="613" t="s">
        <v>1012</v>
      </c>
      <c r="G79" s="677">
        <v>11709251</v>
      </c>
      <c r="H79" s="677">
        <v>14036415</v>
      </c>
      <c r="I79" s="677">
        <v>14653471</v>
      </c>
      <c r="J79" s="677">
        <v>23158167</v>
      </c>
      <c r="K79" s="677">
        <v>27700822</v>
      </c>
      <c r="L79" s="677">
        <v>24666552</v>
      </c>
    </row>
    <row r="80" spans="6:12" s="614" customFormat="1" x14ac:dyDescent="0.65">
      <c r="F80" s="613" t="s">
        <v>1011</v>
      </c>
      <c r="H80" s="702">
        <f>AVERAGE(G79:H79)</f>
        <v>12872833</v>
      </c>
      <c r="I80" s="702">
        <f>AVERAGE(H79:I79)</f>
        <v>14344943</v>
      </c>
      <c r="J80" s="702">
        <f>AVERAGE(I79:J79)</f>
        <v>18905819</v>
      </c>
      <c r="K80" s="702">
        <f>AVERAGE(J79:K79)</f>
        <v>25429494.5</v>
      </c>
      <c r="L80" s="702">
        <f>AVERAGE(K79:L79)</f>
        <v>26183687</v>
      </c>
    </row>
    <row r="81" spans="6:12" s="614" customFormat="1" x14ac:dyDescent="0.65">
      <c r="F81" s="613" t="s">
        <v>1010</v>
      </c>
      <c r="G81" s="613">
        <v>777448</v>
      </c>
      <c r="H81" s="702">
        <v>1884221</v>
      </c>
      <c r="I81" s="702">
        <v>2695372</v>
      </c>
      <c r="J81" s="702">
        <v>4639582</v>
      </c>
      <c r="K81" s="702">
        <v>5372129</v>
      </c>
      <c r="L81" s="702">
        <v>23276578</v>
      </c>
    </row>
    <row r="82" spans="6:12" s="614" customFormat="1" x14ac:dyDescent="0.65">
      <c r="F82" s="613" t="s">
        <v>1009</v>
      </c>
      <c r="G82" s="613"/>
      <c r="H82" s="702">
        <f>AVERAGE(G81:H81)</f>
        <v>1330834.5</v>
      </c>
      <c r="I82" s="702">
        <f>AVERAGE(H81:I81)</f>
        <v>2289796.5</v>
      </c>
      <c r="J82" s="702">
        <f>AVERAGE(I81:J81)</f>
        <v>3667477</v>
      </c>
      <c r="K82" s="702">
        <f>AVERAGE(J81:K81)</f>
        <v>5005855.5</v>
      </c>
      <c r="L82" s="702">
        <f>AVERAGE(K81:L81)</f>
        <v>14324353.5</v>
      </c>
    </row>
    <row r="83" spans="6:12" s="614" customFormat="1" x14ac:dyDescent="0.65">
      <c r="F83" s="613" t="s">
        <v>1008</v>
      </c>
      <c r="G83" s="702">
        <v>6873</v>
      </c>
      <c r="H83" s="702">
        <v>1567064</v>
      </c>
      <c r="I83" s="702">
        <v>107764</v>
      </c>
      <c r="J83" s="702">
        <v>691288</v>
      </c>
      <c r="K83" s="702">
        <v>1630106</v>
      </c>
      <c r="L83" s="702">
        <v>795824</v>
      </c>
    </row>
    <row r="84" spans="6:12" s="614" customFormat="1" x14ac:dyDescent="0.65">
      <c r="F84" s="613" t="s">
        <v>1007</v>
      </c>
      <c r="G84" s="613"/>
      <c r="H84" s="702">
        <f>AVERAGE(G83:H83)</f>
        <v>786968.5</v>
      </c>
      <c r="I84" s="702">
        <f>AVERAGE(H83:I83)</f>
        <v>837414</v>
      </c>
      <c r="J84" s="702">
        <f>AVERAGE(I83:J83)</f>
        <v>399526</v>
      </c>
      <c r="K84" s="702">
        <f>AVERAGE(J83:K83)</f>
        <v>1160697</v>
      </c>
      <c r="L84" s="702">
        <f>AVERAGE(K83:L83)</f>
        <v>1212965</v>
      </c>
    </row>
    <row r="85" spans="6:12" s="614" customFormat="1" ht="21.5" x14ac:dyDescent="0.75">
      <c r="F85" s="701" t="s">
        <v>1006</v>
      </c>
      <c r="G85" s="701"/>
      <c r="H85" s="700">
        <f>H78/(H80+H82-H84)</f>
        <v>8.9152755333501144E-2</v>
      </c>
      <c r="I85" s="700">
        <f>I78/(I80+I82-I84)</f>
        <v>0.12016265792725685</v>
      </c>
      <c r="J85" s="700">
        <f>J78/(J80+J82-J84)</f>
        <v>0.14152453315194985</v>
      </c>
      <c r="K85" s="700">
        <f>K78/(K80+K82-K84)</f>
        <v>9.149442979002019E-2</v>
      </c>
      <c r="L85" s="700">
        <f>L78/(L80+L82-L84)</f>
        <v>0.53193141939760558</v>
      </c>
    </row>
    <row r="86" spans="6:12" s="614" customFormat="1" x14ac:dyDescent="0.65">
      <c r="F86" s="613" t="s">
        <v>1005</v>
      </c>
      <c r="G86" s="613"/>
      <c r="H86" s="699">
        <f>GEOMEAN(H85:L85)</f>
        <v>0.14914107359712869</v>
      </c>
      <c r="I86" s="698"/>
      <c r="J86" s="698"/>
      <c r="K86" s="698"/>
      <c r="L86" s="697"/>
    </row>
  </sheetData>
  <mergeCells count="15">
    <mergeCell ref="F71:L71"/>
    <mergeCell ref="H75:L75"/>
    <mergeCell ref="H86:L86"/>
    <mergeCell ref="F37:L37"/>
    <mergeCell ref="H41:L41"/>
    <mergeCell ref="H52:L52"/>
    <mergeCell ref="F54:L54"/>
    <mergeCell ref="H58:L58"/>
    <mergeCell ref="H69:L69"/>
    <mergeCell ref="H35:L35"/>
    <mergeCell ref="F3:L3"/>
    <mergeCell ref="H18:L18"/>
    <mergeCell ref="H7:L7"/>
    <mergeCell ref="F20:L20"/>
    <mergeCell ref="H24:L2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84"/>
  <sheetViews>
    <sheetView zoomScale="40" zoomScaleNormal="40" workbookViewId="0">
      <selection activeCell="I20" sqref="I20"/>
    </sheetView>
  </sheetViews>
  <sheetFormatPr defaultRowHeight="19.899999999999999" x14ac:dyDescent="0.65"/>
  <cols>
    <col min="1" max="4" width="8.7265625" style="299"/>
    <col min="5" max="5" width="21.7265625" style="299" customWidth="1"/>
    <col min="6" max="6" width="19" style="299" bestFit="1" customWidth="1"/>
    <col min="7" max="7" width="14.7265625" style="299" customWidth="1"/>
    <col min="8" max="8" width="19.81640625" style="299" customWidth="1"/>
    <col min="9" max="9" width="18" style="299" bestFit="1" customWidth="1"/>
    <col min="10" max="10" width="8.81640625" style="299" bestFit="1" customWidth="1"/>
    <col min="11" max="11" width="11.81640625" style="299" customWidth="1"/>
    <col min="12" max="16384" width="8.7265625" style="299"/>
  </cols>
  <sheetData>
    <row r="4" spans="5:11" x14ac:dyDescent="0.65">
      <c r="E4" s="298" t="s">
        <v>802</v>
      </c>
      <c r="F4" s="298" t="s">
        <v>801</v>
      </c>
      <c r="G4" s="298" t="s">
        <v>800</v>
      </c>
      <c r="H4" s="298" t="s">
        <v>799</v>
      </c>
    </row>
    <row r="5" spans="5:11" x14ac:dyDescent="0.65">
      <c r="E5" s="298" t="s">
        <v>798</v>
      </c>
      <c r="F5" s="300">
        <v>16519603.578536894</v>
      </c>
      <c r="G5" s="300">
        <v>16221682</v>
      </c>
      <c r="H5" s="301">
        <f>G5/F5</f>
        <v>0.98196557337949875</v>
      </c>
    </row>
    <row r="6" spans="5:11" x14ac:dyDescent="0.65">
      <c r="E6" s="298" t="s">
        <v>790</v>
      </c>
      <c r="F6" s="300">
        <v>19805011</v>
      </c>
      <c r="G6" s="300">
        <v>19782433.474704489</v>
      </c>
      <c r="H6" s="302">
        <f>G6/F6</f>
        <v>0.99886000945439968</v>
      </c>
    </row>
    <row r="7" spans="5:11" x14ac:dyDescent="0.65">
      <c r="E7" s="298" t="s">
        <v>780</v>
      </c>
      <c r="F7" s="300">
        <v>6449192</v>
      </c>
      <c r="G7" s="300">
        <v>6610240.4712643689</v>
      </c>
      <c r="H7" s="301">
        <f>G7/F7</f>
        <v>1.0249718834955401</v>
      </c>
    </row>
    <row r="8" spans="5:11" x14ac:dyDescent="0.65">
      <c r="E8" s="298" t="s">
        <v>771</v>
      </c>
      <c r="F8" s="300">
        <v>13017417</v>
      </c>
      <c r="G8" s="300">
        <v>12860017</v>
      </c>
      <c r="H8" s="301">
        <f>G8/F8</f>
        <v>0.98790850750191073</v>
      </c>
    </row>
    <row r="9" spans="5:11" x14ac:dyDescent="0.65">
      <c r="E9" s="298" t="s">
        <v>759</v>
      </c>
      <c r="F9" s="300">
        <v>2526414</v>
      </c>
      <c r="G9" s="300">
        <v>2363677</v>
      </c>
      <c r="H9" s="301">
        <f>G9/F9</f>
        <v>0.93558577493633266</v>
      </c>
    </row>
    <row r="11" spans="5:11" x14ac:dyDescent="0.65">
      <c r="E11" s="584" t="s">
        <v>798</v>
      </c>
      <c r="F11" s="584"/>
      <c r="G11" s="584"/>
      <c r="I11" s="298" t="s">
        <v>758</v>
      </c>
      <c r="J11" s="303">
        <f>G13+G16+G17+G20+G14+G12</f>
        <v>0.84496607688401237</v>
      </c>
    </row>
    <row r="12" spans="5:11" x14ac:dyDescent="0.65">
      <c r="E12" s="304" t="s">
        <v>4</v>
      </c>
      <c r="F12" s="304" t="s">
        <v>750</v>
      </c>
      <c r="G12" s="305">
        <v>0.33695359087917026</v>
      </c>
      <c r="I12" s="298" t="s">
        <v>757</v>
      </c>
      <c r="J12" s="303">
        <f>1-J11</f>
        <v>0.15503392311598763</v>
      </c>
    </row>
    <row r="13" spans="5:11" x14ac:dyDescent="0.65">
      <c r="E13" s="304" t="s">
        <v>797</v>
      </c>
      <c r="F13" s="304" t="s">
        <v>750</v>
      </c>
      <c r="G13" s="305">
        <v>0.2537889720683712</v>
      </c>
    </row>
    <row r="14" spans="5:11" x14ac:dyDescent="0.65">
      <c r="E14" s="304" t="s">
        <v>755</v>
      </c>
      <c r="F14" s="304" t="s">
        <v>750</v>
      </c>
      <c r="G14" s="305">
        <v>0.17660653192437134</v>
      </c>
      <c r="I14" s="14" t="s">
        <v>4</v>
      </c>
      <c r="J14" s="14" t="s">
        <v>750</v>
      </c>
      <c r="K14" s="306">
        <v>0.33695359087917026</v>
      </c>
    </row>
    <row r="15" spans="5:11" x14ac:dyDescent="0.65">
      <c r="E15" s="14" t="s">
        <v>767</v>
      </c>
      <c r="F15" s="14" t="s">
        <v>752</v>
      </c>
      <c r="G15" s="306">
        <v>0.11149398687509716</v>
      </c>
      <c r="I15" s="14" t="s">
        <v>797</v>
      </c>
      <c r="J15" s="14" t="s">
        <v>750</v>
      </c>
      <c r="K15" s="306">
        <v>0.2537889720683712</v>
      </c>
    </row>
    <row r="16" spans="5:11" x14ac:dyDescent="0.65">
      <c r="E16" s="304" t="s">
        <v>763</v>
      </c>
      <c r="F16" s="304" t="s">
        <v>750</v>
      </c>
      <c r="G16" s="305">
        <v>4.8960274279818826E-2</v>
      </c>
      <c r="I16" s="14" t="s">
        <v>755</v>
      </c>
      <c r="J16" s="14" t="s">
        <v>750</v>
      </c>
      <c r="K16" s="306">
        <v>0.17660653192437134</v>
      </c>
    </row>
    <row r="17" spans="5:11" x14ac:dyDescent="0.65">
      <c r="E17" s="304" t="s">
        <v>796</v>
      </c>
      <c r="F17" s="304" t="s">
        <v>750</v>
      </c>
      <c r="G17" s="305">
        <v>1.8206620004016846E-2</v>
      </c>
      <c r="I17" s="14" t="s">
        <v>767</v>
      </c>
      <c r="J17" s="14" t="s">
        <v>752</v>
      </c>
      <c r="K17" s="306">
        <v>0.11149398687509716</v>
      </c>
    </row>
    <row r="18" spans="5:11" x14ac:dyDescent="0.65">
      <c r="E18" s="14" t="s">
        <v>795</v>
      </c>
      <c r="F18" s="14" t="s">
        <v>752</v>
      </c>
      <c r="G18" s="306">
        <v>1.7698842820368443E-2</v>
      </c>
      <c r="I18" s="14" t="s">
        <v>763</v>
      </c>
      <c r="J18" s="14" t="s">
        <v>750</v>
      </c>
      <c r="K18" s="306">
        <v>4.8960274279818826E-2</v>
      </c>
    </row>
    <row r="19" spans="5:11" x14ac:dyDescent="0.65">
      <c r="E19" s="14" t="s">
        <v>753</v>
      </c>
      <c r="F19" s="14" t="s">
        <v>752</v>
      </c>
      <c r="G19" s="306">
        <v>1.1851113836407346E-2</v>
      </c>
      <c r="I19" s="14" t="s">
        <v>786</v>
      </c>
      <c r="J19" s="298" t="s">
        <v>23</v>
      </c>
      <c r="K19" s="306">
        <f>1-SUM(K14:K18)</f>
        <v>7.219664397317116E-2</v>
      </c>
    </row>
    <row r="20" spans="5:11" x14ac:dyDescent="0.65">
      <c r="E20" s="304" t="s">
        <v>794</v>
      </c>
      <c r="F20" s="304" t="s">
        <v>750</v>
      </c>
      <c r="G20" s="305">
        <v>1.0450087728263937E-2</v>
      </c>
    </row>
    <row r="21" spans="5:11" x14ac:dyDescent="0.65">
      <c r="E21" s="14" t="s">
        <v>793</v>
      </c>
      <c r="F21" s="14" t="s">
        <v>752</v>
      </c>
      <c r="G21" s="306">
        <v>6.1255670034710335E-3</v>
      </c>
    </row>
    <row r="22" spans="5:11" x14ac:dyDescent="0.65">
      <c r="E22" s="14" t="s">
        <v>773</v>
      </c>
      <c r="F22" s="14" t="s">
        <v>752</v>
      </c>
      <c r="G22" s="306">
        <v>2.9456254906242152E-3</v>
      </c>
    </row>
    <row r="23" spans="5:11" x14ac:dyDescent="0.65">
      <c r="E23" s="14" t="s">
        <v>762</v>
      </c>
      <c r="F23" s="14" t="s">
        <v>752</v>
      </c>
      <c r="G23" s="306">
        <v>2.5846271675156744E-3</v>
      </c>
    </row>
    <row r="24" spans="5:11" x14ac:dyDescent="0.65">
      <c r="E24" s="14" t="s">
        <v>792</v>
      </c>
      <c r="F24" s="14" t="s">
        <v>752</v>
      </c>
      <c r="G24" s="306">
        <v>2.3186868044879688E-3</v>
      </c>
    </row>
    <row r="25" spans="5:11" x14ac:dyDescent="0.65">
      <c r="E25" s="14" t="s">
        <v>791</v>
      </c>
      <c r="F25" s="14" t="s">
        <v>752</v>
      </c>
      <c r="G25" s="306">
        <v>1.5473118015752003E-5</v>
      </c>
    </row>
    <row r="27" spans="5:11" x14ac:dyDescent="0.65">
      <c r="E27" s="584" t="s">
        <v>790</v>
      </c>
      <c r="F27" s="584"/>
      <c r="G27" s="584"/>
      <c r="I27" s="298" t="s">
        <v>758</v>
      </c>
      <c r="J27" s="303">
        <f>G30+G28+G29+G32+G35+G41+G42</f>
        <v>0.83763152906280791</v>
      </c>
    </row>
    <row r="28" spans="5:11" x14ac:dyDescent="0.65">
      <c r="E28" s="304" t="s">
        <v>4</v>
      </c>
      <c r="F28" s="304" t="s">
        <v>750</v>
      </c>
      <c r="G28" s="307">
        <v>0.4272500150604579</v>
      </c>
      <c r="I28" s="298" t="s">
        <v>757</v>
      </c>
      <c r="J28" s="303">
        <f>1-J27</f>
        <v>0.16236847093719209</v>
      </c>
    </row>
    <row r="29" spans="5:11" x14ac:dyDescent="0.65">
      <c r="E29" s="304" t="s">
        <v>779</v>
      </c>
      <c r="F29" s="304" t="s">
        <v>750</v>
      </c>
      <c r="G29" s="307">
        <v>0.21816881151243053</v>
      </c>
    </row>
    <row r="30" spans="5:11" x14ac:dyDescent="0.65">
      <c r="E30" s="304" t="s">
        <v>755</v>
      </c>
      <c r="F30" s="304" t="s">
        <v>750</v>
      </c>
      <c r="G30" s="307">
        <v>0.13734275934627332</v>
      </c>
      <c r="I30" s="14" t="s">
        <v>4</v>
      </c>
      <c r="J30" s="308" t="s">
        <v>750</v>
      </c>
      <c r="K30" s="309">
        <v>0.4272500150604579</v>
      </c>
    </row>
    <row r="31" spans="5:11" x14ac:dyDescent="0.65">
      <c r="E31" s="14" t="s">
        <v>767</v>
      </c>
      <c r="F31" s="14" t="s">
        <v>781</v>
      </c>
      <c r="G31" s="309">
        <v>8.6328964643492184E-2</v>
      </c>
      <c r="I31" s="14" t="s">
        <v>779</v>
      </c>
      <c r="J31" s="308" t="s">
        <v>750</v>
      </c>
      <c r="K31" s="309">
        <v>0.21816881151243053</v>
      </c>
    </row>
    <row r="32" spans="5:11" x14ac:dyDescent="0.65">
      <c r="E32" s="304" t="s">
        <v>787</v>
      </c>
      <c r="F32" s="304" t="s">
        <v>750</v>
      </c>
      <c r="G32" s="307">
        <v>4.0548853659773655E-2</v>
      </c>
      <c r="I32" s="14" t="s">
        <v>755</v>
      </c>
      <c r="J32" s="308" t="s">
        <v>750</v>
      </c>
      <c r="K32" s="309">
        <v>0.13734275934627332</v>
      </c>
    </row>
    <row r="33" spans="5:11" x14ac:dyDescent="0.65">
      <c r="E33" s="14" t="s">
        <v>789</v>
      </c>
      <c r="F33" s="14" t="s">
        <v>781</v>
      </c>
      <c r="G33" s="309">
        <v>2.977581098671174E-2</v>
      </c>
      <c r="I33" s="14" t="s">
        <v>767</v>
      </c>
      <c r="J33" s="308" t="s">
        <v>752</v>
      </c>
      <c r="K33" s="309">
        <v>8.6328964643492184E-2</v>
      </c>
    </row>
    <row r="34" spans="5:11" x14ac:dyDescent="0.65">
      <c r="E34" s="14" t="s">
        <v>788</v>
      </c>
      <c r="F34" s="14" t="s">
        <v>781</v>
      </c>
      <c r="G34" s="309">
        <v>1.0698380473293186E-2</v>
      </c>
      <c r="I34" s="14" t="s">
        <v>787</v>
      </c>
      <c r="J34" s="308" t="s">
        <v>750</v>
      </c>
      <c r="K34" s="309">
        <v>4.0548853659773655E-2</v>
      </c>
    </row>
    <row r="35" spans="5:11" x14ac:dyDescent="0.65">
      <c r="E35" s="304" t="s">
        <v>763</v>
      </c>
      <c r="F35" s="304" t="s">
        <v>750</v>
      </c>
      <c r="G35" s="307">
        <v>1.0002611673281812E-2</v>
      </c>
      <c r="I35" s="308" t="s">
        <v>786</v>
      </c>
      <c r="J35" s="308"/>
      <c r="K35" s="310">
        <f>1-SUM(K30:K34)</f>
        <v>9.0360595777572494E-2</v>
      </c>
    </row>
    <row r="36" spans="5:11" x14ac:dyDescent="0.65">
      <c r="E36" s="14" t="s">
        <v>785</v>
      </c>
      <c r="F36" s="14" t="s">
        <v>781</v>
      </c>
      <c r="G36" s="309">
        <v>9.9210241374478713E-3</v>
      </c>
    </row>
    <row r="37" spans="5:11" x14ac:dyDescent="0.65">
      <c r="E37" s="14" t="s">
        <v>753</v>
      </c>
      <c r="F37" s="14" t="s">
        <v>781</v>
      </c>
      <c r="G37" s="309">
        <v>8.7644930145577057E-3</v>
      </c>
    </row>
    <row r="38" spans="5:11" x14ac:dyDescent="0.65">
      <c r="E38" s="14" t="s">
        <v>778</v>
      </c>
      <c r="F38" s="14" t="s">
        <v>781</v>
      </c>
      <c r="G38" s="309">
        <v>6.2559037622063173E-3</v>
      </c>
    </row>
    <row r="39" spans="5:11" x14ac:dyDescent="0.65">
      <c r="E39" s="14" t="s">
        <v>773</v>
      </c>
      <c r="F39" s="14" t="s">
        <v>781</v>
      </c>
      <c r="G39" s="309">
        <v>5.6311575692870649E-3</v>
      </c>
    </row>
    <row r="40" spans="5:11" x14ac:dyDescent="0.65">
      <c r="E40" s="14" t="s">
        <v>784</v>
      </c>
      <c r="F40" s="14" t="s">
        <v>781</v>
      </c>
      <c r="G40" s="309">
        <v>4.992071338200791E-3</v>
      </c>
    </row>
    <row r="41" spans="5:11" x14ac:dyDescent="0.65">
      <c r="E41" s="304" t="s">
        <v>783</v>
      </c>
      <c r="F41" s="304" t="s">
        <v>750</v>
      </c>
      <c r="G41" s="307">
        <v>3.3004534090048453E-3</v>
      </c>
    </row>
    <row r="42" spans="5:11" x14ac:dyDescent="0.65">
      <c r="E42" s="304" t="s">
        <v>782</v>
      </c>
      <c r="F42" s="304" t="s">
        <v>750</v>
      </c>
      <c r="G42" s="307">
        <v>1.018024401585955E-3</v>
      </c>
    </row>
    <row r="43" spans="5:11" x14ac:dyDescent="0.65">
      <c r="E43" s="14" t="s">
        <v>762</v>
      </c>
      <c r="F43" s="14" t="s">
        <v>781</v>
      </c>
      <c r="G43" s="309">
        <v>6.6501199523189971E-7</v>
      </c>
    </row>
    <row r="44" spans="5:11" x14ac:dyDescent="0.65">
      <c r="G44" s="311"/>
    </row>
    <row r="45" spans="5:11" x14ac:dyDescent="0.65">
      <c r="E45" s="584" t="s">
        <v>780</v>
      </c>
      <c r="F45" s="584"/>
      <c r="G45" s="584"/>
      <c r="I45" s="298" t="s">
        <v>758</v>
      </c>
      <c r="J45" s="303">
        <f>G46+G47+G48+G60+G49</f>
        <v>0.89650038658843634</v>
      </c>
    </row>
    <row r="46" spans="5:11" x14ac:dyDescent="0.65">
      <c r="E46" s="304" t="s">
        <v>4</v>
      </c>
      <c r="F46" s="304" t="s">
        <v>750</v>
      </c>
      <c r="G46" s="307">
        <v>0.40084033425385962</v>
      </c>
      <c r="I46" s="298" t="s">
        <v>757</v>
      </c>
      <c r="J46" s="303">
        <f>1-J45</f>
        <v>0.10349961341156366</v>
      </c>
    </row>
    <row r="47" spans="5:11" x14ac:dyDescent="0.65">
      <c r="E47" s="304" t="s">
        <v>755</v>
      </c>
      <c r="F47" s="304" t="s">
        <v>750</v>
      </c>
      <c r="G47" s="307">
        <v>0.22685725375935814</v>
      </c>
    </row>
    <row r="48" spans="5:11" x14ac:dyDescent="0.65">
      <c r="E48" s="304" t="s">
        <v>779</v>
      </c>
      <c r="F48" s="304" t="s">
        <v>750</v>
      </c>
      <c r="G48" s="307">
        <v>0.20840800058465883</v>
      </c>
      <c r="I48" s="298" t="s">
        <v>4</v>
      </c>
      <c r="J48" s="298" t="s">
        <v>750</v>
      </c>
      <c r="K48" s="301">
        <v>0.40084033425385962</v>
      </c>
    </row>
    <row r="49" spans="5:11" x14ac:dyDescent="0.65">
      <c r="E49" s="304" t="s">
        <v>751</v>
      </c>
      <c r="F49" s="304" t="s">
        <v>750</v>
      </c>
      <c r="G49" s="307">
        <v>6.0394797990559822E-2</v>
      </c>
      <c r="I49" s="298" t="s">
        <v>755</v>
      </c>
      <c r="J49" s="298" t="s">
        <v>750</v>
      </c>
      <c r="K49" s="301">
        <v>0.22685725375935814</v>
      </c>
    </row>
    <row r="50" spans="5:11" x14ac:dyDescent="0.65">
      <c r="E50" s="14" t="s">
        <v>767</v>
      </c>
      <c r="F50" s="14" t="s">
        <v>752</v>
      </c>
      <c r="G50" s="309">
        <v>5.6636517480337677E-2</v>
      </c>
      <c r="I50" s="298" t="s">
        <v>779</v>
      </c>
      <c r="J50" s="298" t="s">
        <v>750</v>
      </c>
      <c r="K50" s="301">
        <v>0.20840800058465883</v>
      </c>
    </row>
    <row r="51" spans="5:11" x14ac:dyDescent="0.65">
      <c r="E51" s="298" t="s">
        <v>778</v>
      </c>
      <c r="F51" s="14" t="s">
        <v>752</v>
      </c>
      <c r="G51" s="309">
        <v>1.3250047465103346E-2</v>
      </c>
      <c r="I51" s="298" t="s">
        <v>751</v>
      </c>
      <c r="J51" s="298" t="s">
        <v>750</v>
      </c>
      <c r="K51" s="301">
        <v>6.0394797990559822E-2</v>
      </c>
    </row>
    <row r="52" spans="5:11" x14ac:dyDescent="0.65">
      <c r="E52" s="298" t="s">
        <v>764</v>
      </c>
      <c r="F52" s="14" t="s">
        <v>752</v>
      </c>
      <c r="G52" s="309">
        <v>1.0133821952650855E-2</v>
      </c>
      <c r="I52" s="298" t="s">
        <v>767</v>
      </c>
      <c r="J52" s="298" t="s">
        <v>752</v>
      </c>
      <c r="K52" s="301">
        <v>5.6636517480337677E-2</v>
      </c>
    </row>
    <row r="53" spans="5:11" x14ac:dyDescent="0.65">
      <c r="E53" s="14" t="s">
        <v>82</v>
      </c>
      <c r="F53" s="14" t="s">
        <v>752</v>
      </c>
      <c r="G53" s="309">
        <v>5.2680383038076154E-3</v>
      </c>
      <c r="I53" s="298" t="s">
        <v>82</v>
      </c>
      <c r="J53" s="298"/>
      <c r="K53" s="312">
        <f>1-SUM(K48:K52)</f>
        <v>4.6863095931225951E-2</v>
      </c>
    </row>
    <row r="54" spans="5:11" x14ac:dyDescent="0.65">
      <c r="E54" s="298" t="s">
        <v>777</v>
      </c>
      <c r="F54" s="14" t="s">
        <v>752</v>
      </c>
      <c r="G54" s="309">
        <v>4.9772773234234378E-3</v>
      </c>
    </row>
    <row r="55" spans="5:11" x14ac:dyDescent="0.65">
      <c r="E55" s="313" t="s">
        <v>776</v>
      </c>
      <c r="F55" s="304" t="s">
        <v>750</v>
      </c>
      <c r="G55" s="307">
        <v>4.3356970332000767E-3</v>
      </c>
    </row>
    <row r="56" spans="5:11" x14ac:dyDescent="0.65">
      <c r="E56" s="14" t="s">
        <v>775</v>
      </c>
      <c r="F56" s="14" t="s">
        <v>752</v>
      </c>
      <c r="G56" s="309">
        <v>3.7920960327593135E-3</v>
      </c>
    </row>
    <row r="57" spans="5:11" x14ac:dyDescent="0.65">
      <c r="E57" s="14" t="s">
        <v>774</v>
      </c>
      <c r="F57" s="14" t="s">
        <v>752</v>
      </c>
      <c r="G57" s="309">
        <v>2.5537648854658231E-3</v>
      </c>
    </row>
    <row r="58" spans="5:11" x14ac:dyDescent="0.65">
      <c r="E58" s="298" t="s">
        <v>773</v>
      </c>
      <c r="F58" s="14" t="s">
        <v>752</v>
      </c>
      <c r="G58" s="309">
        <v>1.8216684731839122E-3</v>
      </c>
    </row>
    <row r="59" spans="5:11" x14ac:dyDescent="0.65">
      <c r="E59" s="298" t="s">
        <v>772</v>
      </c>
      <c r="F59" s="14" t="s">
        <v>752</v>
      </c>
      <c r="G59" s="309">
        <v>7.306844616314156E-4</v>
      </c>
    </row>
    <row r="60" spans="5:11" x14ac:dyDescent="0.65">
      <c r="E60" s="304" t="s">
        <v>763</v>
      </c>
      <c r="F60" s="304" t="s">
        <v>750</v>
      </c>
      <c r="G60" s="314">
        <v>0</v>
      </c>
    </row>
    <row r="62" spans="5:11" x14ac:dyDescent="0.65">
      <c r="E62" s="584" t="s">
        <v>771</v>
      </c>
      <c r="F62" s="584"/>
      <c r="G62" s="584"/>
      <c r="I62" s="298" t="s">
        <v>758</v>
      </c>
      <c r="J62" s="303">
        <f>G63+G64+G68+G71+G69+G65</f>
        <v>0.8429799120794319</v>
      </c>
    </row>
    <row r="63" spans="5:11" x14ac:dyDescent="0.65">
      <c r="E63" s="313" t="s">
        <v>770</v>
      </c>
      <c r="F63" s="304" t="s">
        <v>750</v>
      </c>
      <c r="G63" s="305">
        <v>0.3936887486229606</v>
      </c>
      <c r="I63" s="298" t="s">
        <v>757</v>
      </c>
      <c r="J63" s="303">
        <f>1-J62</f>
        <v>0.1570200879205681</v>
      </c>
    </row>
    <row r="64" spans="5:11" x14ac:dyDescent="0.65">
      <c r="E64" s="313" t="s">
        <v>769</v>
      </c>
      <c r="F64" s="304" t="s">
        <v>750</v>
      </c>
      <c r="G64" s="305">
        <v>0.18654392136495621</v>
      </c>
    </row>
    <row r="65" spans="5:11" x14ac:dyDescent="0.65">
      <c r="E65" s="313" t="s">
        <v>768</v>
      </c>
      <c r="F65" s="304" t="s">
        <v>750</v>
      </c>
      <c r="G65" s="305">
        <v>0.16893896796559443</v>
      </c>
      <c r="I65" s="298" t="s">
        <v>770</v>
      </c>
      <c r="J65" s="298" t="s">
        <v>750</v>
      </c>
      <c r="K65" s="302">
        <v>0.3936887486229606</v>
      </c>
    </row>
    <row r="66" spans="5:11" x14ac:dyDescent="0.65">
      <c r="E66" s="14" t="s">
        <v>767</v>
      </c>
      <c r="F66" s="14" t="s">
        <v>752</v>
      </c>
      <c r="G66" s="309">
        <v>7.5377505333002276E-2</v>
      </c>
      <c r="I66" s="298" t="s">
        <v>769</v>
      </c>
      <c r="J66" s="298" t="s">
        <v>750</v>
      </c>
      <c r="K66" s="302">
        <v>0.18654392136495621</v>
      </c>
    </row>
    <row r="67" spans="5:11" x14ac:dyDescent="0.65">
      <c r="E67" s="298" t="s">
        <v>765</v>
      </c>
      <c r="F67" s="14" t="s">
        <v>752</v>
      </c>
      <c r="G67" s="302">
        <v>6.4738561387593804E-2</v>
      </c>
      <c r="I67" s="298" t="s">
        <v>768</v>
      </c>
      <c r="J67" s="298" t="s">
        <v>750</v>
      </c>
      <c r="K67" s="302">
        <v>0.16893896796559443</v>
      </c>
    </row>
    <row r="68" spans="5:11" x14ac:dyDescent="0.65">
      <c r="E68" s="313" t="s">
        <v>751</v>
      </c>
      <c r="F68" s="304" t="s">
        <v>750</v>
      </c>
      <c r="G68" s="305">
        <v>4.5715569427318796E-2</v>
      </c>
      <c r="I68" s="298" t="s">
        <v>767</v>
      </c>
      <c r="J68" s="298" t="s">
        <v>752</v>
      </c>
      <c r="K68" s="302">
        <v>7.5377505333002276E-2</v>
      </c>
    </row>
    <row r="69" spans="5:11" x14ac:dyDescent="0.65">
      <c r="E69" s="313" t="s">
        <v>766</v>
      </c>
      <c r="F69" s="304" t="s">
        <v>750</v>
      </c>
      <c r="G69" s="305">
        <v>3.7856637359033038E-2</v>
      </c>
      <c r="I69" s="298" t="s">
        <v>765</v>
      </c>
      <c r="J69" s="298" t="s">
        <v>752</v>
      </c>
      <c r="K69" s="302">
        <v>6.4738561387593804E-2</v>
      </c>
    </row>
    <row r="70" spans="5:11" x14ac:dyDescent="0.65">
      <c r="E70" s="298" t="s">
        <v>764</v>
      </c>
      <c r="F70" s="298" t="s">
        <v>752</v>
      </c>
      <c r="G70" s="302">
        <v>1.2339641541686919E-2</v>
      </c>
      <c r="I70" s="298" t="s">
        <v>82</v>
      </c>
      <c r="J70" s="298"/>
      <c r="K70" s="312">
        <f>1-SUM(K65:K69)</f>
        <v>0.11071229532589277</v>
      </c>
    </row>
    <row r="71" spans="5:11" x14ac:dyDescent="0.65">
      <c r="E71" s="313" t="s">
        <v>763</v>
      </c>
      <c r="F71" s="304" t="s">
        <v>750</v>
      </c>
      <c r="G71" s="305">
        <v>1.0236067339568836E-2</v>
      </c>
    </row>
    <row r="72" spans="5:11" x14ac:dyDescent="0.65">
      <c r="E72" s="298" t="s">
        <v>762</v>
      </c>
      <c r="F72" s="298" t="s">
        <v>752</v>
      </c>
      <c r="G72" s="302">
        <v>1.9083956109855842E-3</v>
      </c>
    </row>
    <row r="73" spans="5:11" x14ac:dyDescent="0.65">
      <c r="E73" s="313" t="s">
        <v>761</v>
      </c>
      <c r="F73" s="313" t="s">
        <v>750</v>
      </c>
      <c r="G73" s="305">
        <v>1.6738702600470902E-3</v>
      </c>
    </row>
    <row r="74" spans="5:11" x14ac:dyDescent="0.65">
      <c r="E74" s="298" t="s">
        <v>760</v>
      </c>
      <c r="F74" s="298" t="s">
        <v>752</v>
      </c>
      <c r="G74" s="302">
        <v>9.8211378725238086E-4</v>
      </c>
    </row>
    <row r="76" spans="5:11" x14ac:dyDescent="0.65">
      <c r="E76" s="584" t="s">
        <v>759</v>
      </c>
      <c r="F76" s="584"/>
      <c r="G76" s="584"/>
      <c r="I76" s="298" t="s">
        <v>758</v>
      </c>
      <c r="J76" s="303">
        <f>G77+G78+G80+G79</f>
        <v>0.98254626160850234</v>
      </c>
    </row>
    <row r="77" spans="5:11" x14ac:dyDescent="0.65">
      <c r="E77" s="304" t="s">
        <v>4</v>
      </c>
      <c r="F77" s="304" t="s">
        <v>750</v>
      </c>
      <c r="G77" s="307">
        <v>0.33815660938444636</v>
      </c>
      <c r="I77" s="298" t="s">
        <v>757</v>
      </c>
      <c r="J77" s="303">
        <f>1-J76</f>
        <v>1.7453738391497664E-2</v>
      </c>
    </row>
    <row r="78" spans="5:11" x14ac:dyDescent="0.65">
      <c r="E78" s="304" t="s">
        <v>756</v>
      </c>
      <c r="F78" s="304" t="s">
        <v>750</v>
      </c>
      <c r="G78" s="307">
        <v>0.27936388939774764</v>
      </c>
    </row>
    <row r="79" spans="5:11" x14ac:dyDescent="0.65">
      <c r="E79" s="304" t="s">
        <v>755</v>
      </c>
      <c r="F79" s="304" t="s">
        <v>750</v>
      </c>
      <c r="G79" s="307">
        <v>0.2331837218029367</v>
      </c>
      <c r="I79" s="14" t="s">
        <v>4</v>
      </c>
      <c r="J79" s="14" t="s">
        <v>750</v>
      </c>
      <c r="K79" s="309">
        <v>0.33815660938444636</v>
      </c>
    </row>
    <row r="80" spans="5:11" x14ac:dyDescent="0.65">
      <c r="E80" s="308" t="s">
        <v>753</v>
      </c>
      <c r="F80" s="298" t="s">
        <v>752</v>
      </c>
      <c r="G80" s="306">
        <v>0.13184204102337163</v>
      </c>
      <c r="I80" s="14" t="s">
        <v>756</v>
      </c>
      <c r="J80" s="14" t="s">
        <v>750</v>
      </c>
      <c r="K80" s="309">
        <v>0.27936388939774764</v>
      </c>
    </row>
    <row r="81" spans="5:11" x14ac:dyDescent="0.65">
      <c r="E81" s="304" t="s">
        <v>751</v>
      </c>
      <c r="F81" s="304" t="s">
        <v>750</v>
      </c>
      <c r="G81" s="307">
        <v>1.6700251345678787E-2</v>
      </c>
      <c r="I81" s="14" t="s">
        <v>755</v>
      </c>
      <c r="J81" s="14" t="s">
        <v>750</v>
      </c>
      <c r="K81" s="309">
        <v>0.2331837218029367</v>
      </c>
    </row>
    <row r="82" spans="5:11" x14ac:dyDescent="0.65">
      <c r="E82" s="308" t="s">
        <v>754</v>
      </c>
      <c r="F82" s="308" t="s">
        <v>752</v>
      </c>
      <c r="G82" s="306">
        <v>7.5348704581886612E-4</v>
      </c>
      <c r="I82" s="308" t="s">
        <v>753</v>
      </c>
      <c r="J82" s="308" t="s">
        <v>752</v>
      </c>
      <c r="K82" s="306">
        <v>0.13184204102337163</v>
      </c>
    </row>
    <row r="83" spans="5:11" x14ac:dyDescent="0.65">
      <c r="I83" s="14" t="s">
        <v>751</v>
      </c>
      <c r="J83" s="14" t="s">
        <v>750</v>
      </c>
      <c r="K83" s="309">
        <v>1.6700251345678787E-2</v>
      </c>
    </row>
    <row r="84" spans="5:11" x14ac:dyDescent="0.65">
      <c r="I84" s="308" t="s">
        <v>82</v>
      </c>
      <c r="J84" s="308"/>
      <c r="K84" s="306">
        <f>1-SUM(K79:K83)</f>
        <v>7.5348704581890136E-4</v>
      </c>
    </row>
  </sheetData>
  <mergeCells count="5">
    <mergeCell ref="E11:G11"/>
    <mergeCell ref="E27:G27"/>
    <mergeCell ref="E45:G45"/>
    <mergeCell ref="E62:G62"/>
    <mergeCell ref="E76:G7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33"/>
  <sheetViews>
    <sheetView zoomScale="30" zoomScaleNormal="30" workbookViewId="0">
      <selection activeCell="K36" sqref="K36"/>
    </sheetView>
  </sheetViews>
  <sheetFormatPr defaultColWidth="8.81640625" defaultRowHeight="19.899999999999999" x14ac:dyDescent="0.65"/>
  <cols>
    <col min="1" max="2" width="8.81640625" style="36"/>
    <col min="3" max="3" width="41.90625" style="36" bestFit="1" customWidth="1"/>
    <col min="4" max="8" width="8.81640625" style="36"/>
    <col min="9" max="9" width="8.1796875" style="36" customWidth="1"/>
    <col min="10" max="10" width="52.1796875" style="36" customWidth="1"/>
    <col min="11" max="11" width="46.54296875" style="36" customWidth="1"/>
    <col min="12" max="12" width="53.90625" style="36" customWidth="1"/>
    <col min="13" max="13" width="39.08984375" style="36" bestFit="1" customWidth="1"/>
    <col min="14" max="14" width="25.1796875" style="36" bestFit="1" customWidth="1"/>
    <col min="15" max="15" width="25.1796875" style="36" customWidth="1"/>
    <col min="16" max="22" width="8.81640625" style="36"/>
    <col min="23" max="23" width="47" style="36" bestFit="1" customWidth="1"/>
    <col min="24" max="24" width="25.1796875" style="36" bestFit="1" customWidth="1"/>
    <col min="25" max="25" width="10" style="36" customWidth="1"/>
    <col min="26" max="26" width="19.08984375" style="36" bestFit="1" customWidth="1"/>
    <col min="27" max="16384" width="8.81640625" style="36"/>
  </cols>
  <sheetData>
    <row r="3" spans="3:14" x14ac:dyDescent="0.65">
      <c r="C3" s="34" t="s">
        <v>52</v>
      </c>
      <c r="D3" s="31">
        <v>1400</v>
      </c>
      <c r="E3" s="31">
        <v>1401</v>
      </c>
      <c r="F3" s="31">
        <v>1402</v>
      </c>
      <c r="G3" s="31">
        <v>1403</v>
      </c>
      <c r="H3" s="31">
        <v>1404</v>
      </c>
      <c r="I3" s="35"/>
      <c r="J3" s="588" t="s">
        <v>123</v>
      </c>
      <c r="K3" s="589"/>
      <c r="L3" s="589"/>
      <c r="M3" s="589"/>
      <c r="N3" s="590"/>
    </row>
    <row r="4" spans="3:14" x14ac:dyDescent="0.65">
      <c r="C4" s="37" t="s">
        <v>3</v>
      </c>
      <c r="D4" s="31"/>
      <c r="E4" s="31"/>
      <c r="F4" s="31"/>
      <c r="G4" s="31"/>
      <c r="H4" s="31"/>
      <c r="I4" s="35"/>
      <c r="J4" s="40" t="s">
        <v>134</v>
      </c>
      <c r="K4" s="40" t="s">
        <v>118</v>
      </c>
      <c r="L4" s="40" t="s">
        <v>630</v>
      </c>
      <c r="M4" s="40"/>
      <c r="N4" s="40" t="s">
        <v>122</v>
      </c>
    </row>
    <row r="5" spans="3:14" ht="21.5" x14ac:dyDescent="0.75">
      <c r="C5" s="38" t="s">
        <v>40</v>
      </c>
      <c r="D5" s="31"/>
      <c r="E5" s="31"/>
      <c r="F5" s="31"/>
      <c r="G5" s="31"/>
      <c r="H5" s="31"/>
      <c r="I5" s="35"/>
      <c r="J5" s="585" t="s">
        <v>143</v>
      </c>
      <c r="K5" s="586"/>
      <c r="L5" s="587"/>
      <c r="M5" s="75"/>
      <c r="N5" s="44" t="s">
        <v>3</v>
      </c>
    </row>
    <row r="6" spans="3:14" x14ac:dyDescent="0.65">
      <c r="C6" s="39" t="s">
        <v>54</v>
      </c>
      <c r="D6" s="31"/>
      <c r="E6" s="31"/>
      <c r="F6" s="31"/>
      <c r="G6" s="31"/>
      <c r="H6" s="31"/>
      <c r="I6" s="35"/>
      <c r="J6" s="31" t="s">
        <v>135</v>
      </c>
      <c r="K6" s="41" t="s">
        <v>132</v>
      </c>
      <c r="L6" s="41" t="s">
        <v>126</v>
      </c>
      <c r="M6" s="41"/>
      <c r="N6" s="41"/>
    </row>
    <row r="7" spans="3:14" x14ac:dyDescent="0.65">
      <c r="C7" s="38" t="s">
        <v>55</v>
      </c>
      <c r="D7" s="31"/>
      <c r="E7" s="31"/>
      <c r="F7" s="31"/>
      <c r="G7" s="31"/>
      <c r="H7" s="31"/>
      <c r="I7" s="35"/>
      <c r="J7" s="31" t="s">
        <v>136</v>
      </c>
      <c r="K7" s="41" t="s">
        <v>133</v>
      </c>
      <c r="L7" s="41" t="s">
        <v>138</v>
      </c>
      <c r="M7" s="41"/>
      <c r="N7" s="41"/>
    </row>
    <row r="8" spans="3:14" x14ac:dyDescent="0.65">
      <c r="C8" s="38" t="s">
        <v>56</v>
      </c>
      <c r="D8" s="31"/>
      <c r="E8" s="31"/>
      <c r="F8" s="31"/>
      <c r="G8" s="31"/>
      <c r="H8" s="31"/>
      <c r="I8" s="35"/>
      <c r="J8" s="31" t="s">
        <v>146</v>
      </c>
      <c r="K8" s="41" t="s">
        <v>145</v>
      </c>
      <c r="L8" s="41" t="s">
        <v>144</v>
      </c>
      <c r="M8" s="41"/>
      <c r="N8" s="41"/>
    </row>
    <row r="9" spans="3:14" ht="21.5" x14ac:dyDescent="0.75">
      <c r="C9" s="39" t="s">
        <v>57</v>
      </c>
      <c r="D9" s="31"/>
      <c r="E9" s="31"/>
      <c r="F9" s="31"/>
      <c r="G9" s="31"/>
      <c r="H9" s="31"/>
      <c r="I9" s="35"/>
      <c r="J9" s="31" t="s">
        <v>634</v>
      </c>
      <c r="K9" s="41" t="s">
        <v>639</v>
      </c>
      <c r="L9" s="31" t="s">
        <v>148</v>
      </c>
      <c r="N9" s="41"/>
    </row>
    <row r="10" spans="3:14" x14ac:dyDescent="0.65">
      <c r="C10" s="38" t="s">
        <v>58</v>
      </c>
      <c r="D10" s="31"/>
      <c r="E10" s="31"/>
      <c r="F10" s="31"/>
      <c r="G10" s="31"/>
      <c r="H10" s="31"/>
      <c r="I10" s="35"/>
      <c r="J10" s="31" t="s">
        <v>636</v>
      </c>
      <c r="K10" s="41" t="s">
        <v>635</v>
      </c>
      <c r="L10" s="41" t="s">
        <v>147</v>
      </c>
      <c r="M10" s="41"/>
      <c r="N10" s="41"/>
    </row>
    <row r="11" spans="3:14" x14ac:dyDescent="0.65">
      <c r="C11" s="37" t="s">
        <v>59</v>
      </c>
      <c r="D11" s="31"/>
      <c r="E11" s="31"/>
      <c r="F11" s="31"/>
      <c r="G11" s="31"/>
      <c r="H11" s="31"/>
      <c r="I11" s="35"/>
      <c r="J11" s="31" t="s">
        <v>158</v>
      </c>
      <c r="K11" s="41" t="s">
        <v>157</v>
      </c>
      <c r="L11" s="41" t="s">
        <v>153</v>
      </c>
      <c r="M11" s="41"/>
      <c r="N11" s="41"/>
    </row>
    <row r="12" spans="3:14" x14ac:dyDescent="0.65">
      <c r="C12" s="42" t="s">
        <v>60</v>
      </c>
      <c r="D12" s="31"/>
      <c r="E12" s="31"/>
      <c r="F12" s="31"/>
      <c r="G12" s="31"/>
      <c r="H12" s="31"/>
      <c r="I12" s="35"/>
      <c r="J12" s="31" t="s">
        <v>647</v>
      </c>
      <c r="K12" s="41" t="s">
        <v>157</v>
      </c>
      <c r="L12" s="41" t="s">
        <v>155</v>
      </c>
      <c r="M12" s="41"/>
      <c r="N12" s="41"/>
    </row>
    <row r="13" spans="3:14" x14ac:dyDescent="0.65">
      <c r="C13" s="37" t="s">
        <v>61</v>
      </c>
      <c r="D13" s="31"/>
      <c r="E13" s="31"/>
      <c r="F13" s="31"/>
      <c r="G13" s="31"/>
      <c r="H13" s="31"/>
      <c r="I13" s="35"/>
      <c r="J13" s="31"/>
      <c r="K13" s="41"/>
      <c r="L13" s="41"/>
      <c r="M13" s="41"/>
      <c r="N13" s="44" t="s">
        <v>2</v>
      </c>
    </row>
    <row r="14" spans="3:14" ht="21.5" x14ac:dyDescent="0.75">
      <c r="C14" s="43" t="s">
        <v>68</v>
      </c>
      <c r="D14" s="31"/>
      <c r="E14" s="31"/>
      <c r="F14" s="31"/>
      <c r="G14" s="31"/>
      <c r="H14" s="31"/>
      <c r="I14" s="35"/>
      <c r="J14" s="585" t="s">
        <v>626</v>
      </c>
      <c r="K14" s="586"/>
      <c r="L14" s="587"/>
      <c r="M14" s="40" t="s">
        <v>161</v>
      </c>
      <c r="N14" s="41"/>
    </row>
    <row r="15" spans="3:14" ht="21.5" x14ac:dyDescent="0.75">
      <c r="C15" s="42" t="s">
        <v>62</v>
      </c>
      <c r="D15" s="31"/>
      <c r="E15" s="31"/>
      <c r="F15" s="31"/>
      <c r="G15" s="31"/>
      <c r="H15" s="31"/>
      <c r="I15" s="35"/>
      <c r="J15" s="585" t="s">
        <v>648</v>
      </c>
      <c r="K15" s="586"/>
      <c r="L15" s="587"/>
      <c r="M15" s="31"/>
      <c r="N15" s="41"/>
    </row>
    <row r="16" spans="3:14" x14ac:dyDescent="0.65">
      <c r="C16" s="37" t="s">
        <v>63</v>
      </c>
      <c r="D16" s="31"/>
      <c r="E16" s="31"/>
      <c r="F16" s="31"/>
      <c r="G16" s="31"/>
      <c r="H16" s="31"/>
      <c r="I16" s="35"/>
      <c r="J16" s="31" t="s">
        <v>168</v>
      </c>
      <c r="K16" s="41" t="s">
        <v>167</v>
      </c>
      <c r="L16" s="41" t="s">
        <v>166</v>
      </c>
      <c r="M16" s="31"/>
      <c r="N16" s="41"/>
    </row>
    <row r="17" spans="3:14" x14ac:dyDescent="0.65">
      <c r="C17" s="42" t="s">
        <v>64</v>
      </c>
      <c r="D17" s="31"/>
      <c r="E17" s="31"/>
      <c r="F17" s="31"/>
      <c r="G17" s="31"/>
      <c r="H17" s="31"/>
      <c r="I17" s="35"/>
      <c r="J17" s="31"/>
      <c r="K17" s="41" t="s">
        <v>637</v>
      </c>
      <c r="L17" s="41" t="s">
        <v>624</v>
      </c>
      <c r="M17" s="31"/>
      <c r="N17" s="41"/>
    </row>
    <row r="18" spans="3:14" x14ac:dyDescent="0.65">
      <c r="C18" s="37" t="s">
        <v>164</v>
      </c>
      <c r="D18" s="31"/>
      <c r="E18" s="31"/>
      <c r="F18" s="31"/>
      <c r="G18" s="31"/>
      <c r="H18" s="31"/>
      <c r="I18" s="35"/>
      <c r="J18" s="31" t="s">
        <v>627</v>
      </c>
      <c r="K18" s="100">
        <v>0.05</v>
      </c>
      <c r="L18" s="41" t="s">
        <v>18</v>
      </c>
      <c r="M18" s="31"/>
      <c r="N18" s="41"/>
    </row>
    <row r="19" spans="3:14" x14ac:dyDescent="0.65">
      <c r="C19" s="38" t="s">
        <v>165</v>
      </c>
      <c r="D19" s="31"/>
      <c r="E19" s="31"/>
      <c r="F19" s="31"/>
      <c r="G19" s="31"/>
      <c r="H19" s="31"/>
      <c r="I19" s="35"/>
      <c r="J19" s="31"/>
      <c r="K19" s="41" t="s">
        <v>628</v>
      </c>
      <c r="L19" s="41" t="s">
        <v>625</v>
      </c>
      <c r="N19" s="41"/>
    </row>
    <row r="20" spans="3:14" x14ac:dyDescent="0.65">
      <c r="I20" s="35"/>
      <c r="J20" s="31"/>
      <c r="K20" s="41" t="s">
        <v>629</v>
      </c>
      <c r="L20" s="41"/>
      <c r="M20" s="40" t="s">
        <v>162</v>
      </c>
      <c r="N20" s="41"/>
    </row>
    <row r="21" spans="3:14" x14ac:dyDescent="0.65">
      <c r="J21" s="31"/>
      <c r="K21" s="31" t="s">
        <v>112</v>
      </c>
      <c r="L21" s="41"/>
      <c r="M21" s="31"/>
      <c r="N21" s="44" t="s">
        <v>111</v>
      </c>
    </row>
    <row r="22" spans="3:14" x14ac:dyDescent="0.65">
      <c r="J22" s="31"/>
      <c r="K22" s="31" t="s">
        <v>660</v>
      </c>
      <c r="L22" s="31"/>
      <c r="M22" s="31"/>
      <c r="N22" s="44" t="s">
        <v>113</v>
      </c>
    </row>
    <row r="23" spans="3:14" x14ac:dyDescent="0.65">
      <c r="J23" s="31"/>
      <c r="K23" s="31" t="s">
        <v>115</v>
      </c>
      <c r="L23" s="31"/>
      <c r="M23" s="31"/>
      <c r="N23" s="44" t="s">
        <v>58</v>
      </c>
    </row>
    <row r="24" spans="3:14" x14ac:dyDescent="0.65">
      <c r="J24" s="31"/>
      <c r="K24" s="31" t="s">
        <v>117</v>
      </c>
      <c r="L24" s="31"/>
      <c r="M24" s="31"/>
      <c r="N24" s="44" t="s">
        <v>116</v>
      </c>
    </row>
    <row r="25" spans="3:14" x14ac:dyDescent="0.65">
      <c r="J25" s="31"/>
      <c r="K25" s="31" t="s">
        <v>115</v>
      </c>
      <c r="L25" s="31"/>
      <c r="M25" s="31"/>
      <c r="N25" s="44" t="s">
        <v>61</v>
      </c>
    </row>
    <row r="26" spans="3:14" x14ac:dyDescent="0.65">
      <c r="J26" s="35"/>
      <c r="K26" s="35"/>
      <c r="L26" s="35"/>
      <c r="M26" s="35"/>
    </row>
    <row r="27" spans="3:14" x14ac:dyDescent="0.65">
      <c r="J27" s="35"/>
      <c r="K27" s="35"/>
      <c r="L27" s="35"/>
      <c r="M27" s="35"/>
    </row>
    <row r="28" spans="3:14" x14ac:dyDescent="0.65">
      <c r="J28" s="35"/>
      <c r="K28" s="35"/>
      <c r="L28" s="35"/>
      <c r="M28" s="35"/>
    </row>
    <row r="29" spans="3:14" x14ac:dyDescent="0.65">
      <c r="J29" s="35"/>
      <c r="K29" s="35"/>
      <c r="L29" s="35"/>
      <c r="M29" s="35"/>
    </row>
    <row r="30" spans="3:14" x14ac:dyDescent="0.65">
      <c r="J30" s="35"/>
      <c r="K30" s="35"/>
      <c r="L30" s="35"/>
      <c r="M30" s="35"/>
    </row>
    <row r="31" spans="3:14" x14ac:dyDescent="0.65">
      <c r="J31" s="35"/>
      <c r="K31" s="35"/>
      <c r="L31" s="35"/>
      <c r="M31" s="35"/>
    </row>
    <row r="32" spans="3:14" x14ac:dyDescent="0.65">
      <c r="J32" s="35"/>
      <c r="K32" s="35"/>
      <c r="L32" s="35"/>
      <c r="M32" s="35"/>
    </row>
    <row r="33" spans="11:12" x14ac:dyDescent="0.65">
      <c r="K33" s="35"/>
      <c r="L33" s="35"/>
    </row>
  </sheetData>
  <mergeCells count="4">
    <mergeCell ref="J15:L15"/>
    <mergeCell ref="J3:N3"/>
    <mergeCell ref="J5:L5"/>
    <mergeCell ref="J14:L14"/>
  </mergeCells>
  <phoneticPr fontId="2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33"/>
  <sheetViews>
    <sheetView topLeftCell="F1" zoomScale="30" zoomScaleNormal="30" workbookViewId="0">
      <selection activeCell="P36" sqref="P36"/>
    </sheetView>
  </sheetViews>
  <sheetFormatPr defaultColWidth="8.81640625" defaultRowHeight="19.899999999999999" x14ac:dyDescent="0.65"/>
  <cols>
    <col min="1" max="1" width="8.81640625" style="11"/>
    <col min="2" max="2" width="39.453125" style="11" bestFit="1" customWidth="1"/>
    <col min="3" max="3" width="23.81640625" style="11" bestFit="1" customWidth="1"/>
    <col min="4" max="8" width="25.453125" style="11" bestFit="1" customWidth="1"/>
    <col min="9" max="10" width="8.81640625" style="11"/>
    <col min="11" max="11" width="29.1796875" style="11" bestFit="1" customWidth="1"/>
    <col min="12" max="12" width="13.36328125" style="11" bestFit="1" customWidth="1"/>
    <col min="13" max="14" width="17.81640625" style="11" bestFit="1" customWidth="1"/>
    <col min="15" max="16" width="18" style="11" bestFit="1" customWidth="1"/>
    <col min="17" max="17" width="17.90625" style="11" bestFit="1" customWidth="1"/>
    <col min="18" max="18" width="17.81640625" style="11" bestFit="1" customWidth="1"/>
    <col min="19" max="19" width="19.1796875" style="11" bestFit="1" customWidth="1"/>
    <col min="20" max="20" width="20.36328125" style="11" bestFit="1" customWidth="1"/>
    <col min="21" max="21" width="20.453125" style="11" bestFit="1" customWidth="1"/>
    <col min="22" max="22" width="20.36328125" style="11" bestFit="1" customWidth="1"/>
    <col min="23" max="23" width="20.1796875" style="11" bestFit="1" customWidth="1"/>
    <col min="24" max="24" width="20.36328125" style="11" bestFit="1" customWidth="1"/>
    <col min="25" max="25" width="20.1796875" style="11" bestFit="1" customWidth="1"/>
    <col min="26" max="26" width="21.453125" style="11" bestFit="1" customWidth="1"/>
    <col min="27" max="27" width="21.54296875" style="11" bestFit="1" customWidth="1"/>
    <col min="28" max="28" width="20.36328125" style="11" bestFit="1" customWidth="1"/>
    <col min="29" max="29" width="20.1796875" style="11" bestFit="1" customWidth="1"/>
    <col min="30" max="30" width="20.36328125" style="11" bestFit="1" customWidth="1"/>
    <col min="31" max="31" width="21.453125" style="11" bestFit="1" customWidth="1"/>
    <col min="32" max="32" width="21.54296875" style="11" bestFit="1" customWidth="1"/>
    <col min="33" max="33" width="21.453125" style="11" bestFit="1" customWidth="1"/>
    <col min="34" max="35" width="19.36328125" style="11" customWidth="1"/>
    <col min="36" max="16384" width="8.81640625" style="11"/>
  </cols>
  <sheetData>
    <row r="3" spans="2:34" ht="21.5" x14ac:dyDescent="0.75">
      <c r="B3" s="27" t="s">
        <v>17</v>
      </c>
      <c r="C3" s="28" t="s">
        <v>633</v>
      </c>
      <c r="D3" s="28">
        <v>1400</v>
      </c>
      <c r="E3" s="28">
        <v>1401</v>
      </c>
      <c r="F3" s="28">
        <v>1402</v>
      </c>
      <c r="G3" s="28">
        <v>1403</v>
      </c>
      <c r="H3" s="28">
        <v>1404</v>
      </c>
      <c r="I3" s="66"/>
      <c r="J3" s="591" t="s">
        <v>3</v>
      </c>
      <c r="K3" s="59" t="s">
        <v>149</v>
      </c>
      <c r="L3" s="57">
        <v>1390</v>
      </c>
      <c r="M3" s="13">
        <v>1391</v>
      </c>
      <c r="N3" s="57">
        <v>1392</v>
      </c>
      <c r="O3" s="13">
        <v>1393</v>
      </c>
      <c r="P3" s="57">
        <v>1394</v>
      </c>
      <c r="Q3" s="13">
        <v>1395</v>
      </c>
      <c r="R3" s="57">
        <v>1396</v>
      </c>
      <c r="S3" s="13">
        <v>1397</v>
      </c>
      <c r="T3" s="57">
        <v>1398</v>
      </c>
      <c r="U3" s="13">
        <v>1399</v>
      </c>
      <c r="V3" s="13" t="s">
        <v>169</v>
      </c>
    </row>
    <row r="4" spans="2:34" x14ac:dyDescent="0.65">
      <c r="B4" s="29" t="s">
        <v>126</v>
      </c>
      <c r="C4" s="32">
        <v>350000</v>
      </c>
      <c r="D4" s="32">
        <v>350000</v>
      </c>
      <c r="E4" s="32">
        <v>350000</v>
      </c>
      <c r="F4" s="32">
        <v>350000</v>
      </c>
      <c r="G4" s="32">
        <v>350000</v>
      </c>
      <c r="H4" s="32">
        <v>350000</v>
      </c>
      <c r="I4" s="67"/>
      <c r="J4" s="591"/>
      <c r="K4" s="52" t="s">
        <v>150</v>
      </c>
      <c r="L4" s="15">
        <v>126978888</v>
      </c>
      <c r="M4" s="15">
        <v>165221548</v>
      </c>
      <c r="N4" s="15">
        <v>400779395</v>
      </c>
      <c r="O4" s="15">
        <v>264909196</v>
      </c>
      <c r="P4" s="15">
        <v>145964129</v>
      </c>
      <c r="Q4" s="15">
        <v>164211304</v>
      </c>
      <c r="R4" s="15">
        <v>222311389</v>
      </c>
      <c r="S4" s="15">
        <v>453226514</v>
      </c>
      <c r="T4" s="45">
        <v>720189020</v>
      </c>
      <c r="U4" s="45">
        <v>894983110</v>
      </c>
      <c r="V4" s="45">
        <v>1326380276</v>
      </c>
    </row>
    <row r="5" spans="2:34" x14ac:dyDescent="0.65">
      <c r="B5" s="29" t="s">
        <v>137</v>
      </c>
      <c r="C5" s="32">
        <f>365*C4/4</f>
        <v>31937500</v>
      </c>
      <c r="D5" s="32">
        <f>365*D4</f>
        <v>127750000</v>
      </c>
      <c r="E5" s="32">
        <f t="shared" ref="E5:H5" si="0">365*E4</f>
        <v>127750000</v>
      </c>
      <c r="F5" s="32">
        <f t="shared" si="0"/>
        <v>127750000</v>
      </c>
      <c r="G5" s="32">
        <f t="shared" si="0"/>
        <v>127750000</v>
      </c>
      <c r="H5" s="32">
        <f t="shared" si="0"/>
        <v>127750000</v>
      </c>
      <c r="I5" s="67"/>
      <c r="J5" s="591"/>
      <c r="K5" s="52" t="s">
        <v>151</v>
      </c>
      <c r="L5" s="16">
        <v>45616830</v>
      </c>
      <c r="M5" s="16">
        <v>56620930</v>
      </c>
      <c r="N5" s="16">
        <v>149005131</v>
      </c>
      <c r="O5" s="16">
        <v>105781848</v>
      </c>
      <c r="P5" s="16">
        <v>53858745</v>
      </c>
      <c r="Q5" s="16">
        <v>65256579</v>
      </c>
      <c r="R5" s="16">
        <v>82830600</v>
      </c>
      <c r="S5" s="16">
        <v>172278006</v>
      </c>
      <c r="T5" s="62">
        <v>295129172</v>
      </c>
      <c r="U5" s="62">
        <v>337218355</v>
      </c>
      <c r="V5" s="45">
        <v>494869085</v>
      </c>
    </row>
    <row r="6" spans="2:34" s="18" customFormat="1" x14ac:dyDescent="0.65">
      <c r="B6" s="31" t="s">
        <v>138</v>
      </c>
      <c r="C6" s="102">
        <v>0.91400000000000003</v>
      </c>
      <c r="D6" s="102">
        <f>(90.7%*3+91.4%)/4</f>
        <v>0.90875000000000006</v>
      </c>
      <c r="E6" s="80">
        <v>0.90500000000000003</v>
      </c>
      <c r="F6" s="80">
        <v>0.9</v>
      </c>
      <c r="G6" s="80">
        <v>0.89500000000000002</v>
      </c>
      <c r="H6" s="80">
        <v>0.89</v>
      </c>
      <c r="I6" s="67"/>
      <c r="J6" s="591"/>
      <c r="K6" s="52" t="s">
        <v>152</v>
      </c>
      <c r="L6" s="53">
        <f>L5/L4</f>
        <v>0.3592473577182374</v>
      </c>
      <c r="M6" s="53">
        <f t="shared" ref="M6:U6" si="1">M5/M4</f>
        <v>0.34269700705140471</v>
      </c>
      <c r="N6" s="53">
        <f t="shared" si="1"/>
        <v>0.37178840244519057</v>
      </c>
      <c r="O6" s="53">
        <f t="shared" si="1"/>
        <v>0.39931361235190943</v>
      </c>
      <c r="P6" s="53">
        <f t="shared" si="1"/>
        <v>0.36898617056797567</v>
      </c>
      <c r="Q6" s="53">
        <f t="shared" si="1"/>
        <v>0.39739395163684954</v>
      </c>
      <c r="R6" s="53">
        <f t="shared" si="1"/>
        <v>0.37258819879893784</v>
      </c>
      <c r="S6" s="53">
        <f t="shared" si="1"/>
        <v>0.38011457996916748</v>
      </c>
      <c r="T6" s="53">
        <f t="shared" si="1"/>
        <v>0.40979404545767723</v>
      </c>
      <c r="U6" s="53">
        <f t="shared" si="1"/>
        <v>0.37678739546269202</v>
      </c>
      <c r="V6" s="29">
        <f>V5/V4</f>
        <v>0.37309743966669179</v>
      </c>
      <c r="W6" s="11"/>
      <c r="X6" s="11"/>
      <c r="Y6" s="11"/>
      <c r="Z6" s="11"/>
      <c r="AA6" s="11"/>
      <c r="AB6" s="11"/>
      <c r="AC6" s="11"/>
      <c r="AD6" s="11"/>
      <c r="AE6" s="11"/>
      <c r="AF6" s="11"/>
      <c r="AG6" s="11"/>
    </row>
    <row r="7" spans="2:34" s="19" customFormat="1" x14ac:dyDescent="0.65">
      <c r="B7" s="31" t="s">
        <v>140</v>
      </c>
      <c r="C7" s="32">
        <f>C6*C5</f>
        <v>29190875</v>
      </c>
      <c r="D7" s="32">
        <f t="shared" ref="D7:H7" si="2">D6*D5</f>
        <v>116092812.5</v>
      </c>
      <c r="E7" s="32">
        <f t="shared" si="2"/>
        <v>115613750</v>
      </c>
      <c r="F7" s="32">
        <f t="shared" si="2"/>
        <v>114975000</v>
      </c>
      <c r="G7" s="32">
        <f t="shared" si="2"/>
        <v>114336250</v>
      </c>
      <c r="H7" s="32">
        <f t="shared" si="2"/>
        <v>113697500</v>
      </c>
      <c r="I7" s="67"/>
      <c r="K7" s="64"/>
      <c r="L7" s="65"/>
      <c r="M7" s="65"/>
      <c r="N7" s="65"/>
      <c r="O7" s="65"/>
      <c r="P7" s="65"/>
      <c r="Q7" s="65"/>
      <c r="R7" s="65"/>
      <c r="S7" s="65"/>
      <c r="T7" s="65"/>
      <c r="U7" s="65"/>
      <c r="V7" s="11"/>
      <c r="W7" s="11"/>
      <c r="X7" s="11"/>
      <c r="Y7" s="11"/>
      <c r="Z7" s="11"/>
      <c r="AA7" s="11"/>
      <c r="AB7" s="11"/>
      <c r="AC7" s="11"/>
      <c r="AD7" s="11"/>
      <c r="AE7" s="11"/>
      <c r="AF7" s="11"/>
      <c r="AG7" s="11"/>
    </row>
    <row r="8" spans="2:34" x14ac:dyDescent="0.65">
      <c r="B8" s="31" t="s">
        <v>141</v>
      </c>
      <c r="C8" s="32">
        <f>C7/$L$33</f>
        <v>4640978.2310145162</v>
      </c>
      <c r="D8" s="32">
        <f>D7/$L$33</f>
        <v>18457282.133192305</v>
      </c>
      <c r="E8" s="32">
        <f t="shared" ref="E8:H8" si="3">E7/$L$33</f>
        <v>18381117.282573905</v>
      </c>
      <c r="F8" s="32">
        <f t="shared" si="3"/>
        <v>18279564.148416039</v>
      </c>
      <c r="G8" s="32">
        <f t="shared" si="3"/>
        <v>18178011.014258172</v>
      </c>
      <c r="H8" s="32">
        <f t="shared" si="3"/>
        <v>18076457.880100306</v>
      </c>
      <c r="I8" s="67"/>
    </row>
    <row r="9" spans="2:34" ht="21.5" x14ac:dyDescent="0.65">
      <c r="B9" s="31" t="s">
        <v>5</v>
      </c>
      <c r="C9" s="33">
        <f>AVERAGE($Z$12:$AH$12)</f>
        <v>0.33948262430593346</v>
      </c>
      <c r="D9" s="33">
        <f t="shared" ref="D9:H9" si="4">AVERAGE($Z$12:$AH$12)</f>
        <v>0.33948262430593346</v>
      </c>
      <c r="E9" s="33">
        <f t="shared" si="4"/>
        <v>0.33948262430593346</v>
      </c>
      <c r="F9" s="33">
        <f t="shared" si="4"/>
        <v>0.33948262430593346</v>
      </c>
      <c r="G9" s="33">
        <f t="shared" si="4"/>
        <v>0.33948262430593346</v>
      </c>
      <c r="H9" s="33">
        <f t="shared" si="4"/>
        <v>0.33948262430593346</v>
      </c>
      <c r="I9" s="67"/>
      <c r="J9" s="592" t="s">
        <v>156</v>
      </c>
      <c r="K9" s="55" t="s">
        <v>139</v>
      </c>
      <c r="L9" s="13"/>
      <c r="M9" s="13">
        <v>1379</v>
      </c>
      <c r="N9" s="13">
        <v>1380</v>
      </c>
      <c r="O9" s="13">
        <v>1381</v>
      </c>
      <c r="P9" s="13">
        <v>1382</v>
      </c>
      <c r="Q9" s="13">
        <v>1383</v>
      </c>
      <c r="R9" s="13">
        <v>1384</v>
      </c>
      <c r="S9" s="13">
        <v>1385</v>
      </c>
      <c r="T9" s="13">
        <v>1386</v>
      </c>
      <c r="U9" s="13">
        <v>1387</v>
      </c>
      <c r="V9" s="13">
        <v>1388</v>
      </c>
      <c r="W9" s="13">
        <v>1389</v>
      </c>
      <c r="X9" s="13">
        <v>1390</v>
      </c>
      <c r="Y9" s="13">
        <v>1391</v>
      </c>
      <c r="Z9" s="13">
        <v>1392</v>
      </c>
      <c r="AA9" s="13">
        <v>1393</v>
      </c>
      <c r="AB9" s="13">
        <v>1394</v>
      </c>
      <c r="AC9" s="13">
        <v>1395</v>
      </c>
      <c r="AD9" s="13">
        <v>1396</v>
      </c>
      <c r="AE9" s="13">
        <v>1397</v>
      </c>
      <c r="AF9" s="13">
        <v>1398</v>
      </c>
      <c r="AG9" s="13">
        <v>1399</v>
      </c>
      <c r="AH9" s="13" t="s">
        <v>169</v>
      </c>
    </row>
    <row r="10" spans="2:34" x14ac:dyDescent="0.65">
      <c r="B10" s="31" t="s">
        <v>142</v>
      </c>
      <c r="C10" s="32">
        <f>C9*C8</f>
        <v>1575531.4692115167</v>
      </c>
      <c r="D10" s="32">
        <f>D9*D8</f>
        <v>6265926.5761311408</v>
      </c>
      <c r="E10" s="32">
        <f t="shared" ref="E10:H10" si="5">E9*E8</f>
        <v>6240069.9327633372</v>
      </c>
      <c r="F10" s="32">
        <f t="shared" si="5"/>
        <v>6205594.4082729323</v>
      </c>
      <c r="G10" s="32">
        <f t="shared" si="5"/>
        <v>6171118.8837825274</v>
      </c>
      <c r="H10" s="32">
        <f t="shared" si="5"/>
        <v>6136643.3592921225</v>
      </c>
      <c r="I10" s="67"/>
      <c r="J10" s="592"/>
      <c r="K10" s="14" t="s">
        <v>4</v>
      </c>
      <c r="L10" s="14" t="s">
        <v>8</v>
      </c>
      <c r="M10" s="15">
        <v>4153154</v>
      </c>
      <c r="N10" s="16">
        <v>4398648</v>
      </c>
      <c r="O10" s="16">
        <v>4322951</v>
      </c>
      <c r="P10" s="16">
        <v>4421881</v>
      </c>
      <c r="Q10" s="16">
        <v>4369027</v>
      </c>
      <c r="R10" s="16">
        <v>4602376</v>
      </c>
      <c r="S10" s="16">
        <v>4509541</v>
      </c>
      <c r="T10" s="16">
        <v>4150900</v>
      </c>
      <c r="U10" s="16">
        <v>4447497</v>
      </c>
      <c r="V10" s="16">
        <v>5385277</v>
      </c>
      <c r="W10" s="16">
        <v>5151875</v>
      </c>
      <c r="X10" s="16">
        <v>5449186</v>
      </c>
      <c r="Y10" s="16">
        <v>5839488</v>
      </c>
      <c r="Z10" s="16">
        <v>6503042</v>
      </c>
      <c r="AA10" s="16">
        <v>6512744</v>
      </c>
      <c r="AB10" s="16">
        <v>5721555</v>
      </c>
      <c r="AC10" s="16">
        <v>5863449</v>
      </c>
      <c r="AD10" s="16">
        <v>5865372</v>
      </c>
      <c r="AE10" s="16">
        <v>5952909</v>
      </c>
      <c r="AF10" s="16">
        <v>5996545</v>
      </c>
      <c r="AG10" s="16">
        <v>5465954</v>
      </c>
      <c r="AH10" s="16">
        <v>4589636</v>
      </c>
    </row>
    <row r="11" spans="2:34" x14ac:dyDescent="0.65">
      <c r="B11" s="31" t="s">
        <v>16</v>
      </c>
      <c r="C11" s="30">
        <f>رویترز!F10</f>
        <v>639.39370129749477</v>
      </c>
      <c r="D11" s="30">
        <v>524.05895597894175</v>
      </c>
      <c r="E11" s="30">
        <f>رویترز!H10</f>
        <v>604.97747014140054</v>
      </c>
      <c r="F11" s="30">
        <f>رویترز!I10</f>
        <v>611.70596108100847</v>
      </c>
      <c r="G11" s="30">
        <f>رویترز!J10</f>
        <v>611.70596108100847</v>
      </c>
      <c r="H11" s="30">
        <f>رویترز!K10</f>
        <v>604.97747014140054</v>
      </c>
      <c r="I11" s="67"/>
      <c r="J11" s="592"/>
      <c r="K11" s="14" t="s">
        <v>7</v>
      </c>
      <c r="L11" s="14" t="s">
        <v>8</v>
      </c>
      <c r="M11" s="16">
        <v>14907133</v>
      </c>
      <c r="N11" s="16">
        <v>15216655</v>
      </c>
      <c r="O11" s="16">
        <v>15252215</v>
      </c>
      <c r="P11" s="16">
        <v>15051164</v>
      </c>
      <c r="Q11" s="16">
        <v>15098000</v>
      </c>
      <c r="R11" s="16">
        <v>15620417</v>
      </c>
      <c r="S11" s="16">
        <v>15559065</v>
      </c>
      <c r="T11" s="16">
        <v>15378810</v>
      </c>
      <c r="U11" s="16">
        <v>16107639</v>
      </c>
      <c r="V11" s="16">
        <v>18181595</v>
      </c>
      <c r="W11" s="16">
        <v>17625959</v>
      </c>
      <c r="X11" s="16">
        <v>17725620</v>
      </c>
      <c r="Y11" s="16">
        <v>18331187</v>
      </c>
      <c r="Z11" s="16">
        <v>19007068</v>
      </c>
      <c r="AA11" s="16">
        <v>18534645</v>
      </c>
      <c r="AB11" s="16">
        <v>16727233</v>
      </c>
      <c r="AC11" s="16">
        <v>16930674</v>
      </c>
      <c r="AD11" s="16">
        <v>17761309</v>
      </c>
      <c r="AE11" s="16">
        <v>17994057</v>
      </c>
      <c r="AF11" s="16">
        <v>17477009</v>
      </c>
      <c r="AG11" s="17">
        <v>16221682</v>
      </c>
      <c r="AH11" s="17">
        <v>13810543</v>
      </c>
    </row>
    <row r="12" spans="2:34" x14ac:dyDescent="0.65">
      <c r="B12" s="31" t="s">
        <v>9</v>
      </c>
      <c r="C12" s="32">
        <f>C11*C10</f>
        <v>1007384897.6098316</v>
      </c>
      <c r="D12" s="32">
        <f t="shared" ref="D12:H12" si="6">D11*D10</f>
        <v>3283714939.7279906</v>
      </c>
      <c r="E12" s="32">
        <f t="shared" si="6"/>
        <v>3775101721.4285831</v>
      </c>
      <c r="F12" s="32">
        <f t="shared" si="6"/>
        <v>3795999091.591526</v>
      </c>
      <c r="G12" s="32">
        <f t="shared" si="6"/>
        <v>3774910207.749351</v>
      </c>
      <c r="H12" s="32">
        <f t="shared" si="6"/>
        <v>3712530974.6645741</v>
      </c>
      <c r="I12" s="67"/>
      <c r="J12" s="592"/>
      <c r="K12" s="20" t="s">
        <v>6</v>
      </c>
      <c r="L12" s="20" t="s">
        <v>120</v>
      </c>
      <c r="M12" s="21">
        <f t="shared" ref="M12:AH12" si="7">M10/M11</f>
        <v>0.27860179418805747</v>
      </c>
      <c r="N12" s="21">
        <f t="shared" si="7"/>
        <v>0.28906799819014101</v>
      </c>
      <c r="O12" s="21">
        <f t="shared" si="7"/>
        <v>0.2834310295258754</v>
      </c>
      <c r="P12" s="21">
        <f t="shared" si="7"/>
        <v>0.29378996866953278</v>
      </c>
      <c r="Q12" s="21">
        <f t="shared" si="7"/>
        <v>0.28937786461783016</v>
      </c>
      <c r="R12" s="21">
        <f t="shared" si="7"/>
        <v>0.2946384850033133</v>
      </c>
      <c r="S12" s="21">
        <f t="shared" si="7"/>
        <v>0.28983367573822721</v>
      </c>
      <c r="T12" s="21">
        <f t="shared" si="7"/>
        <v>0.26991035067082564</v>
      </c>
      <c r="U12" s="21">
        <f t="shared" si="7"/>
        <v>0.27611104271706116</v>
      </c>
      <c r="V12" s="21">
        <f t="shared" si="7"/>
        <v>0.29619387077976383</v>
      </c>
      <c r="W12" s="21">
        <f t="shared" si="7"/>
        <v>0.29228906069734983</v>
      </c>
      <c r="X12" s="21">
        <f t="shared" si="7"/>
        <v>0.30741864036349648</v>
      </c>
      <c r="Y12" s="21">
        <f t="shared" si="7"/>
        <v>0.31855482135444912</v>
      </c>
      <c r="Z12" s="61">
        <f t="shared" si="7"/>
        <v>0.34213809305043785</v>
      </c>
      <c r="AA12" s="61">
        <f t="shared" si="7"/>
        <v>0.35138218185457559</v>
      </c>
      <c r="AB12" s="61">
        <f t="shared" si="7"/>
        <v>0.34205029606510534</v>
      </c>
      <c r="AC12" s="61">
        <f t="shared" si="7"/>
        <v>0.34632106199670493</v>
      </c>
      <c r="AD12" s="61">
        <f t="shared" si="7"/>
        <v>0.33023309261721645</v>
      </c>
      <c r="AE12" s="61">
        <f t="shared" si="7"/>
        <v>0.3308263945145889</v>
      </c>
      <c r="AF12" s="61">
        <f t="shared" si="7"/>
        <v>0.34311048303516922</v>
      </c>
      <c r="AG12" s="61">
        <f t="shared" si="7"/>
        <v>0.33695359087917026</v>
      </c>
      <c r="AH12" s="61">
        <f t="shared" si="7"/>
        <v>0.332328424740432</v>
      </c>
    </row>
    <row r="13" spans="2:34" x14ac:dyDescent="0.65">
      <c r="B13" s="31" t="s">
        <v>651</v>
      </c>
      <c r="C13" s="102">
        <v>0.39300000000000002</v>
      </c>
      <c r="D13" s="102">
        <v>0.39300000000000002</v>
      </c>
      <c r="E13" s="102">
        <v>0.27500000000000002</v>
      </c>
      <c r="F13" s="102">
        <v>0.25</v>
      </c>
      <c r="G13" s="102">
        <v>0.25</v>
      </c>
      <c r="H13" s="102">
        <v>0.25</v>
      </c>
      <c r="I13" s="67"/>
    </row>
    <row r="14" spans="2:34" x14ac:dyDescent="0.65">
      <c r="B14" s="31" t="s">
        <v>663</v>
      </c>
      <c r="C14" s="98">
        <f>242616*((1+0.393/4)+1)/2</f>
        <v>254534.51100000003</v>
      </c>
      <c r="D14" s="98">
        <f>3*'  ارز-دلار نیمایی      '!D5/4+C14/4</f>
        <v>233328.35470852535</v>
      </c>
      <c r="E14" s="98">
        <f>D14*((1+E13))</f>
        <v>297493.6522533698</v>
      </c>
      <c r="F14" s="98">
        <f t="shared" ref="F14:H14" si="8">E14*((1+F13))</f>
        <v>371867.06531671225</v>
      </c>
      <c r="G14" s="98">
        <f t="shared" si="8"/>
        <v>464833.83164589031</v>
      </c>
      <c r="H14" s="98">
        <f t="shared" si="8"/>
        <v>581042.28955736291</v>
      </c>
      <c r="I14" s="67"/>
    </row>
    <row r="15" spans="2:34" ht="21.5" customHeight="1" x14ac:dyDescent="0.65">
      <c r="B15" s="31" t="s">
        <v>664</v>
      </c>
      <c r="C15" s="32">
        <f>C12*C14/10000000000</f>
        <v>25641.422230190357</v>
      </c>
      <c r="D15" s="32">
        <f t="shared" ref="D15:H15" si="9">D12*D14/10000000000</f>
        <v>76618.380421853653</v>
      </c>
      <c r="E15" s="32">
        <f t="shared" si="9"/>
        <v>112306.87987357726</v>
      </c>
      <c r="F15" s="32">
        <f t="shared" si="9"/>
        <v>141160.70421350465</v>
      </c>
      <c r="G15" s="32">
        <f t="shared" si="9"/>
        <v>175470.59759873149</v>
      </c>
      <c r="H15" s="32">
        <f t="shared" si="9"/>
        <v>215713.74975717324</v>
      </c>
      <c r="I15" s="67"/>
      <c r="J15" s="591" t="s">
        <v>3</v>
      </c>
      <c r="K15" s="55" t="s">
        <v>119</v>
      </c>
      <c r="L15" s="13"/>
      <c r="M15" s="13">
        <v>1379</v>
      </c>
      <c r="N15" s="13">
        <v>1380</v>
      </c>
      <c r="O15" s="13">
        <v>1381</v>
      </c>
      <c r="P15" s="13">
        <v>1382</v>
      </c>
      <c r="Q15" s="13">
        <v>1383</v>
      </c>
      <c r="R15" s="13">
        <v>1384</v>
      </c>
      <c r="S15" s="13">
        <v>1385</v>
      </c>
      <c r="T15" s="13">
        <v>1386</v>
      </c>
      <c r="U15" s="13">
        <v>1387</v>
      </c>
      <c r="V15" s="13">
        <v>1388</v>
      </c>
      <c r="W15" s="13">
        <v>1389</v>
      </c>
      <c r="X15" s="13">
        <v>1390</v>
      </c>
      <c r="Y15" s="13">
        <v>1391</v>
      </c>
      <c r="Z15" s="13">
        <v>1392</v>
      </c>
      <c r="AA15" s="13">
        <v>1393</v>
      </c>
      <c r="AB15" s="13">
        <v>1394</v>
      </c>
      <c r="AC15" s="13">
        <v>1395</v>
      </c>
      <c r="AD15" s="13">
        <v>1396</v>
      </c>
      <c r="AE15" s="13">
        <v>1397</v>
      </c>
      <c r="AF15" s="13">
        <v>1398</v>
      </c>
      <c r="AG15" s="13">
        <v>1399</v>
      </c>
      <c r="AH15" s="13" t="s">
        <v>169</v>
      </c>
    </row>
    <row r="16" spans="2:34" x14ac:dyDescent="0.65">
      <c r="B16" s="31" t="s">
        <v>154</v>
      </c>
      <c r="C16" s="102">
        <f>AVERAGE($X$21:$AH$21)</f>
        <v>0.99700319442866003</v>
      </c>
      <c r="D16" s="102">
        <f t="shared" ref="D16:H16" si="10">AVERAGE($X$21:$AH$21)</f>
        <v>0.99700319442866003</v>
      </c>
      <c r="E16" s="102">
        <f t="shared" si="10"/>
        <v>0.99700319442866003</v>
      </c>
      <c r="F16" s="102">
        <f t="shared" si="10"/>
        <v>0.99700319442866003</v>
      </c>
      <c r="G16" s="102">
        <f t="shared" si="10"/>
        <v>0.99700319442866003</v>
      </c>
      <c r="H16" s="102">
        <f t="shared" si="10"/>
        <v>0.99700319442866003</v>
      </c>
      <c r="I16" s="67"/>
      <c r="J16" s="591"/>
      <c r="K16" s="22" t="s">
        <v>13</v>
      </c>
      <c r="L16" s="22" t="s">
        <v>8</v>
      </c>
      <c r="M16" s="26">
        <v>4153154</v>
      </c>
      <c r="N16" s="26">
        <v>4398648</v>
      </c>
      <c r="O16" s="26">
        <v>4322951</v>
      </c>
      <c r="P16" s="26">
        <v>4421881</v>
      </c>
      <c r="Q16" s="26">
        <v>4369027</v>
      </c>
      <c r="R16" s="26">
        <v>4602376</v>
      </c>
      <c r="S16" s="26">
        <v>4509541</v>
      </c>
      <c r="T16" s="26">
        <v>4150900</v>
      </c>
      <c r="U16" s="26">
        <v>4447497</v>
      </c>
      <c r="V16" s="26">
        <v>5385277</v>
      </c>
      <c r="W16" s="26">
        <v>5151875</v>
      </c>
      <c r="X16" s="26">
        <v>5449186</v>
      </c>
      <c r="Y16" s="26">
        <v>5839488</v>
      </c>
      <c r="Z16" s="26">
        <v>6503042</v>
      </c>
      <c r="AA16" s="26">
        <v>6512744</v>
      </c>
      <c r="AB16" s="26">
        <v>5721555</v>
      </c>
      <c r="AC16" s="26">
        <v>5863449</v>
      </c>
      <c r="AD16" s="26">
        <v>5865372</v>
      </c>
      <c r="AE16" s="26">
        <v>5952909</v>
      </c>
      <c r="AF16" s="26">
        <v>5996545</v>
      </c>
      <c r="AG16" s="26">
        <v>5465954</v>
      </c>
      <c r="AH16" s="26">
        <v>4583394</v>
      </c>
    </row>
    <row r="17" spans="2:34" x14ac:dyDescent="0.65">
      <c r="B17" s="31" t="s">
        <v>665</v>
      </c>
      <c r="C17" s="32">
        <f>C16*C15</f>
        <v>25564.579873193841</v>
      </c>
      <c r="D17" s="32">
        <f t="shared" ref="D17:H17" si="11">D16*D15</f>
        <v>76388.770032538392</v>
      </c>
      <c r="E17" s="32">
        <f t="shared" si="11"/>
        <v>111970.31799027232</v>
      </c>
      <c r="F17" s="32">
        <f t="shared" si="11"/>
        <v>140737.67302866335</v>
      </c>
      <c r="G17" s="32">
        <f t="shared" si="11"/>
        <v>174944.74633424127</v>
      </c>
      <c r="H17" s="32">
        <f t="shared" si="11"/>
        <v>215067.29759008629</v>
      </c>
      <c r="I17" s="67"/>
      <c r="J17" s="591"/>
      <c r="K17" s="23" t="s">
        <v>12</v>
      </c>
      <c r="L17" s="23" t="s">
        <v>8</v>
      </c>
      <c r="M17" s="15">
        <v>4153154</v>
      </c>
      <c r="N17" s="15">
        <v>4417291</v>
      </c>
      <c r="O17" s="15">
        <v>4325152</v>
      </c>
      <c r="P17" s="15">
        <v>4421881</v>
      </c>
      <c r="Q17" s="15">
        <v>4369027</v>
      </c>
      <c r="R17" s="15">
        <v>4602376</v>
      </c>
      <c r="S17" s="15">
        <v>4509541</v>
      </c>
      <c r="T17" s="15">
        <v>4150900</v>
      </c>
      <c r="U17" s="15">
        <v>4387893</v>
      </c>
      <c r="V17" s="15">
        <v>5443972</v>
      </c>
      <c r="W17" s="15">
        <v>5040772</v>
      </c>
      <c r="X17" s="15">
        <v>5511124</v>
      </c>
      <c r="Y17" s="15">
        <v>5830192</v>
      </c>
      <c r="Z17" s="15">
        <v>6498812</v>
      </c>
      <c r="AA17" s="15">
        <v>6474781</v>
      </c>
      <c r="AB17" s="15">
        <v>5575034</v>
      </c>
      <c r="AC17" s="15">
        <v>6016043</v>
      </c>
      <c r="AD17" s="15">
        <v>5845534</v>
      </c>
      <c r="AE17" s="15">
        <v>5742615</v>
      </c>
      <c r="AF17" s="15">
        <v>5949373</v>
      </c>
      <c r="AG17" s="15">
        <v>5512618</v>
      </c>
      <c r="AH17" s="15">
        <v>4589636</v>
      </c>
    </row>
    <row r="18" spans="2:34" x14ac:dyDescent="0.65">
      <c r="B18" s="31" t="s">
        <v>159</v>
      </c>
      <c r="C18" s="102">
        <f>AVERAGE($L$6:$V$6)</f>
        <v>0.37743710555697585</v>
      </c>
      <c r="D18" s="102">
        <f t="shared" ref="D18:H18" si="12">AVERAGE($L$6:$V$6)</f>
        <v>0.37743710555697585</v>
      </c>
      <c r="E18" s="102">
        <f t="shared" si="12"/>
        <v>0.37743710555697585</v>
      </c>
      <c r="F18" s="102">
        <f t="shared" si="12"/>
        <v>0.37743710555697585</v>
      </c>
      <c r="G18" s="102">
        <f t="shared" si="12"/>
        <v>0.37743710555697585</v>
      </c>
      <c r="H18" s="102">
        <f t="shared" si="12"/>
        <v>0.37743710555697585</v>
      </c>
      <c r="I18" s="67"/>
      <c r="J18" s="591"/>
      <c r="K18" s="23" t="s">
        <v>4</v>
      </c>
      <c r="L18" s="23" t="s">
        <v>11</v>
      </c>
      <c r="M18" s="15">
        <v>24723</v>
      </c>
      <c r="N18" s="15">
        <v>22710</v>
      </c>
      <c r="O18" s="15">
        <v>128320</v>
      </c>
      <c r="P18" s="15">
        <v>130880</v>
      </c>
      <c r="Q18" s="15">
        <v>148610</v>
      </c>
      <c r="R18" s="15">
        <v>149420</v>
      </c>
      <c r="S18" s="15">
        <v>261804</v>
      </c>
      <c r="T18" s="15">
        <v>5276492</v>
      </c>
      <c r="U18" s="15">
        <v>5655557</v>
      </c>
      <c r="V18" s="15">
        <v>4597049</v>
      </c>
      <c r="W18" s="15">
        <v>6140962</v>
      </c>
      <c r="X18" s="15">
        <v>8277228</v>
      </c>
      <c r="Y18" s="15">
        <v>9711675</v>
      </c>
      <c r="Z18" s="15">
        <v>22928057</v>
      </c>
      <c r="AA18" s="15">
        <v>16337518</v>
      </c>
      <c r="AB18" s="15">
        <v>9660703</v>
      </c>
      <c r="AC18" s="15">
        <v>10847093</v>
      </c>
      <c r="AD18" s="15">
        <v>14169894</v>
      </c>
      <c r="AE18" s="15">
        <v>29999923</v>
      </c>
      <c r="AF18" s="15">
        <v>49606769</v>
      </c>
      <c r="AG18" s="15">
        <v>61172088</v>
      </c>
      <c r="AH18" s="15">
        <v>107823166</v>
      </c>
    </row>
    <row r="19" spans="2:34" ht="20.05" customHeight="1" x14ac:dyDescent="0.65">
      <c r="B19" s="31" t="s">
        <v>666</v>
      </c>
      <c r="C19" s="32">
        <f>C17/C18</f>
        <v>67732.026069532134</v>
      </c>
      <c r="D19" s="32">
        <f t="shared" ref="D19:H19" si="13">D17/D18</f>
        <v>202388.07713357467</v>
      </c>
      <c r="E19" s="32">
        <f t="shared" si="13"/>
        <v>296659.5396736103</v>
      </c>
      <c r="F19" s="32">
        <f t="shared" si="13"/>
        <v>372877.15213102801</v>
      </c>
      <c r="G19" s="32">
        <f t="shared" si="13"/>
        <v>463507.01549620845</v>
      </c>
      <c r="H19" s="32">
        <f t="shared" si="13"/>
        <v>569809.63032957795</v>
      </c>
      <c r="J19" s="591"/>
      <c r="K19" s="24" t="s">
        <v>14</v>
      </c>
      <c r="L19" s="24" t="s">
        <v>121</v>
      </c>
      <c r="M19" s="24">
        <f>M16*M18/10^9</f>
        <v>102.67842634199999</v>
      </c>
      <c r="N19" s="24">
        <f t="shared" ref="N19:AG19" si="14">N16*N18/10^9</f>
        <v>99.893296079999999</v>
      </c>
      <c r="O19" s="24">
        <f t="shared" si="14"/>
        <v>554.72107231999996</v>
      </c>
      <c r="P19" s="24">
        <f t="shared" si="14"/>
        <v>578.73578527999996</v>
      </c>
      <c r="Q19" s="24">
        <f t="shared" si="14"/>
        <v>649.28110246999995</v>
      </c>
      <c r="R19" s="24">
        <f t="shared" si="14"/>
        <v>687.68702192000001</v>
      </c>
      <c r="S19" s="24">
        <f t="shared" si="14"/>
        <v>1180.615871964</v>
      </c>
      <c r="T19" s="24">
        <f t="shared" si="14"/>
        <v>21902.1906428</v>
      </c>
      <c r="U19" s="24">
        <f t="shared" si="14"/>
        <v>25153.072790828999</v>
      </c>
      <c r="V19" s="24">
        <f t="shared" si="14"/>
        <v>24756.382247573001</v>
      </c>
      <c r="W19" s="24">
        <f t="shared" si="14"/>
        <v>31637.46860375</v>
      </c>
      <c r="X19" s="24">
        <f t="shared" si="14"/>
        <v>45104.154936407998</v>
      </c>
      <c r="Y19" s="24">
        <f t="shared" si="14"/>
        <v>56711.209622399998</v>
      </c>
      <c r="Z19" s="24">
        <f t="shared" si="14"/>
        <v>149102.117649394</v>
      </c>
      <c r="AA19" s="24">
        <f t="shared" si="14"/>
        <v>106402.072329392</v>
      </c>
      <c r="AB19" s="24">
        <f t="shared" si="14"/>
        <v>55274.243553164997</v>
      </c>
      <c r="AC19" s="24">
        <f t="shared" si="14"/>
        <v>63601.376603757002</v>
      </c>
      <c r="AD19" s="24">
        <f t="shared" si="14"/>
        <v>83111.699510567996</v>
      </c>
      <c r="AE19" s="24">
        <f t="shared" si="14"/>
        <v>178586.81162600699</v>
      </c>
      <c r="AF19" s="24">
        <f t="shared" si="14"/>
        <v>297469.22261310503</v>
      </c>
      <c r="AG19" s="24">
        <f t="shared" si="14"/>
        <v>334363.819091952</v>
      </c>
      <c r="AH19" s="24">
        <f>AH16*AH18/10^9</f>
        <v>494196.05210540397</v>
      </c>
    </row>
    <row r="20" spans="2:34" x14ac:dyDescent="0.65">
      <c r="J20" s="591"/>
      <c r="K20" s="24" t="s">
        <v>15</v>
      </c>
      <c r="L20" s="24" t="s">
        <v>121</v>
      </c>
      <c r="M20" s="24">
        <f t="shared" ref="M20:AF20" si="15">M18*M17/10^9</f>
        <v>102.67842634199999</v>
      </c>
      <c r="N20" s="24">
        <f t="shared" si="15"/>
        <v>100.31667861</v>
      </c>
      <c r="O20" s="24">
        <f t="shared" si="15"/>
        <v>555.00350463999996</v>
      </c>
      <c r="P20" s="24">
        <f t="shared" si="15"/>
        <v>578.73578527999996</v>
      </c>
      <c r="Q20" s="24">
        <f t="shared" si="15"/>
        <v>649.28110246999995</v>
      </c>
      <c r="R20" s="24">
        <f t="shared" si="15"/>
        <v>687.68702192000001</v>
      </c>
      <c r="S20" s="24">
        <f t="shared" si="15"/>
        <v>1180.615871964</v>
      </c>
      <c r="T20" s="24">
        <f t="shared" si="15"/>
        <v>21902.1906428</v>
      </c>
      <c r="U20" s="24">
        <f t="shared" si="15"/>
        <v>24815.978971401</v>
      </c>
      <c r="V20" s="24">
        <f t="shared" si="15"/>
        <v>25026.206038627999</v>
      </c>
      <c r="W20" s="24">
        <f t="shared" si="15"/>
        <v>30955.189302663999</v>
      </c>
      <c r="X20" s="24">
        <f t="shared" si="15"/>
        <v>45616.829884272003</v>
      </c>
      <c r="Y20" s="24">
        <f t="shared" si="15"/>
        <v>56620.929891599997</v>
      </c>
      <c r="Z20" s="24">
        <f t="shared" si="15"/>
        <v>149005.131968284</v>
      </c>
      <c r="AA20" s="24">
        <f t="shared" si="15"/>
        <v>105781.851133558</v>
      </c>
      <c r="AB20" s="24">
        <f t="shared" si="15"/>
        <v>53858.747688902004</v>
      </c>
      <c r="AC20" s="24">
        <f t="shared" si="15"/>
        <v>65256.577912998997</v>
      </c>
      <c r="AD20" s="24">
        <f t="shared" si="15"/>
        <v>82830.597153395996</v>
      </c>
      <c r="AE20" s="24">
        <f t="shared" si="15"/>
        <v>172278.00781864501</v>
      </c>
      <c r="AF20" s="24">
        <f t="shared" si="15"/>
        <v>295129.17210583697</v>
      </c>
      <c r="AG20" s="24">
        <f>AG18*AG17/10^9</f>
        <v>337218.35340638401</v>
      </c>
      <c r="AH20" s="24">
        <f>AH18*AH17/10^9</f>
        <v>494869.08430757601</v>
      </c>
    </row>
    <row r="21" spans="2:34" x14ac:dyDescent="0.65">
      <c r="J21" s="591"/>
      <c r="K21" s="24" t="s">
        <v>10</v>
      </c>
      <c r="L21" s="24" t="s">
        <v>120</v>
      </c>
      <c r="M21" s="25">
        <f t="shared" ref="M21:AG21" si="16">M20/M19</f>
        <v>1</v>
      </c>
      <c r="N21" s="25">
        <f t="shared" si="16"/>
        <v>1.004238347783228</v>
      </c>
      <c r="O21" s="25">
        <f t="shared" si="16"/>
        <v>1.0005091429442527</v>
      </c>
      <c r="P21" s="25">
        <f t="shared" si="16"/>
        <v>1</v>
      </c>
      <c r="Q21" s="25">
        <f t="shared" si="16"/>
        <v>1</v>
      </c>
      <c r="R21" s="25">
        <f t="shared" si="16"/>
        <v>1</v>
      </c>
      <c r="S21" s="25">
        <f t="shared" si="16"/>
        <v>1</v>
      </c>
      <c r="T21" s="25">
        <f t="shared" si="16"/>
        <v>1</v>
      </c>
      <c r="U21" s="25">
        <f t="shared" si="16"/>
        <v>0.98659830461942977</v>
      </c>
      <c r="V21" s="25">
        <f t="shared" si="16"/>
        <v>1.0108991608045417</v>
      </c>
      <c r="W21" s="25">
        <f t="shared" si="16"/>
        <v>0.97843445347567637</v>
      </c>
      <c r="X21" s="25">
        <f t="shared" si="16"/>
        <v>1.011366468312882</v>
      </c>
      <c r="Y21" s="25">
        <f t="shared" si="16"/>
        <v>0.99840807961245914</v>
      </c>
      <c r="Z21" s="25">
        <f t="shared" si="16"/>
        <v>0.99934953518676339</v>
      </c>
      <c r="AA21" s="25">
        <f t="shared" si="16"/>
        <v>0.99417096695340701</v>
      </c>
      <c r="AB21" s="25">
        <f t="shared" si="16"/>
        <v>0.97439140233730182</v>
      </c>
      <c r="AC21" s="25">
        <f t="shared" si="16"/>
        <v>1.0260246145229539</v>
      </c>
      <c r="AD21" s="25">
        <f t="shared" si="16"/>
        <v>0.99661777633200421</v>
      </c>
      <c r="AE21" s="25">
        <f t="shared" si="16"/>
        <v>0.96467374186301191</v>
      </c>
      <c r="AF21" s="25">
        <f t="shared" si="16"/>
        <v>0.99213347018991749</v>
      </c>
      <c r="AG21" s="25">
        <f t="shared" si="16"/>
        <v>1.0085372105217132</v>
      </c>
      <c r="AH21" s="25">
        <f t="shared" ref="AH21" si="17">AH20/AH19</f>
        <v>1.0013618728828462</v>
      </c>
    </row>
    <row r="24" spans="2:34" ht="21.5" x14ac:dyDescent="0.75">
      <c r="J24" s="592" t="s">
        <v>156</v>
      </c>
      <c r="K24" s="59" t="s">
        <v>138</v>
      </c>
      <c r="L24" s="57">
        <v>1392</v>
      </c>
      <c r="M24" s="13">
        <v>1393</v>
      </c>
      <c r="N24" s="13">
        <v>1394</v>
      </c>
      <c r="O24" s="13">
        <v>1395</v>
      </c>
      <c r="P24" s="13">
        <v>1396</v>
      </c>
      <c r="Q24" s="13">
        <v>1397</v>
      </c>
      <c r="R24" s="13">
        <v>1398</v>
      </c>
      <c r="S24" s="13">
        <v>1399</v>
      </c>
      <c r="T24" s="13" t="s">
        <v>169</v>
      </c>
      <c r="U24" s="13" t="s">
        <v>640</v>
      </c>
    </row>
    <row r="25" spans="2:34" x14ac:dyDescent="0.65">
      <c r="J25" s="592"/>
      <c r="K25" s="52" t="s">
        <v>130</v>
      </c>
      <c r="L25" s="15">
        <v>19007068</v>
      </c>
      <c r="M25" s="15">
        <v>18534645</v>
      </c>
      <c r="N25" s="15">
        <v>16727233</v>
      </c>
      <c r="O25" s="15">
        <v>16930674</v>
      </c>
      <c r="P25" s="15">
        <v>17761309</v>
      </c>
      <c r="Q25" s="15">
        <v>17994057</v>
      </c>
      <c r="R25" s="15">
        <v>17477009</v>
      </c>
      <c r="S25" s="15">
        <v>16221682</v>
      </c>
      <c r="T25" s="15">
        <v>13810543</v>
      </c>
      <c r="U25" s="15">
        <v>4639902</v>
      </c>
    </row>
    <row r="26" spans="2:34" x14ac:dyDescent="0.65">
      <c r="J26" s="592"/>
      <c r="K26" s="52" t="s">
        <v>131</v>
      </c>
      <c r="L26" s="58">
        <f t="shared" ref="L26:S26" si="18">L25*$L$33/1000</f>
        <v>119550.86158273439</v>
      </c>
      <c r="M26" s="58">
        <f t="shared" si="18"/>
        <v>116579.410295166</v>
      </c>
      <c r="N26" s="58">
        <f t="shared" si="18"/>
        <v>105211.13077751639</v>
      </c>
      <c r="O26" s="58">
        <f t="shared" si="18"/>
        <v>106490.73617647919</v>
      </c>
      <c r="P26" s="58">
        <f t="shared" si="18"/>
        <v>111715.2731703372</v>
      </c>
      <c r="Q26" s="58">
        <f t="shared" si="18"/>
        <v>113179.2140544156</v>
      </c>
      <c r="R26" s="58">
        <f t="shared" si="18"/>
        <v>109927.07995989719</v>
      </c>
      <c r="S26" s="58">
        <f t="shared" si="18"/>
        <v>102031.31063776561</v>
      </c>
      <c r="T26" s="58">
        <f>T25*$L$33/1000</f>
        <v>86865.702515264391</v>
      </c>
      <c r="U26" s="58">
        <f t="shared" ref="U26" si="19">U25*$L$33/1000</f>
        <v>29184.1057105416</v>
      </c>
    </row>
    <row r="27" spans="2:34" x14ac:dyDescent="0.65">
      <c r="J27" s="592"/>
      <c r="K27" s="52" t="s">
        <v>125</v>
      </c>
      <c r="L27" s="49">
        <f>(L25/365)/1000</f>
        <v>52.074158904109588</v>
      </c>
      <c r="M27" s="49">
        <f t="shared" ref="M27:S27" si="20">(M25/365)/1000</f>
        <v>50.779849315068496</v>
      </c>
      <c r="N27" s="49">
        <f t="shared" si="20"/>
        <v>45.828035616438356</v>
      </c>
      <c r="O27" s="49">
        <f t="shared" si="20"/>
        <v>46.385408219178082</v>
      </c>
      <c r="P27" s="49">
        <f t="shared" si="20"/>
        <v>48.661120547945202</v>
      </c>
      <c r="Q27" s="49">
        <f t="shared" si="20"/>
        <v>49.298786301369866</v>
      </c>
      <c r="R27" s="49">
        <f t="shared" si="20"/>
        <v>47.88221643835616</v>
      </c>
      <c r="S27" s="49">
        <f t="shared" si="20"/>
        <v>44.442964383561645</v>
      </c>
      <c r="T27" s="49">
        <f>(T25/(365*3/4)/1000)</f>
        <v>50.449472146118723</v>
      </c>
      <c r="U27" s="49">
        <f>(U25/(365/4)/1000)</f>
        <v>50.848241095890408</v>
      </c>
    </row>
    <row r="28" spans="2:34" x14ac:dyDescent="0.65">
      <c r="J28" s="592"/>
      <c r="K28" s="52" t="s">
        <v>129</v>
      </c>
      <c r="L28" s="51">
        <f>L27*$L$33</f>
        <v>327.53660707598465</v>
      </c>
      <c r="M28" s="51">
        <f t="shared" ref="M28:S28" si="21">M27*$L$33</f>
        <v>319.39564464429043</v>
      </c>
      <c r="N28" s="51">
        <f t="shared" si="21"/>
        <v>288.2496733630586</v>
      </c>
      <c r="O28" s="51">
        <f t="shared" si="21"/>
        <v>291.75544157939504</v>
      </c>
      <c r="P28" s="51">
        <f t="shared" si="21"/>
        <v>306.06924156256764</v>
      </c>
      <c r="Q28" s="51">
        <f t="shared" si="21"/>
        <v>310.08003850524824</v>
      </c>
      <c r="R28" s="51">
        <f t="shared" si="21"/>
        <v>301.1700820819101</v>
      </c>
      <c r="S28" s="51">
        <f t="shared" si="21"/>
        <v>279.53783736374135</v>
      </c>
      <c r="T28" s="51">
        <f>T27*$L$33</f>
        <v>317.31763475895673</v>
      </c>
      <c r="U28" s="51">
        <f>U27*$L$33</f>
        <v>319.82581600593534</v>
      </c>
    </row>
    <row r="29" spans="2:34" x14ac:dyDescent="0.65">
      <c r="J29" s="592"/>
      <c r="K29" s="52" t="s">
        <v>128</v>
      </c>
      <c r="L29" s="50">
        <v>350</v>
      </c>
      <c r="M29" s="50">
        <v>350</v>
      </c>
      <c r="N29" s="50">
        <v>350</v>
      </c>
      <c r="O29" s="50">
        <v>350</v>
      </c>
      <c r="P29" s="50">
        <v>350</v>
      </c>
      <c r="Q29" s="50">
        <v>350</v>
      </c>
      <c r="R29" s="50">
        <v>350</v>
      </c>
      <c r="S29" s="50">
        <v>350</v>
      </c>
      <c r="T29" s="50">
        <v>350</v>
      </c>
      <c r="U29" s="50">
        <v>350</v>
      </c>
    </row>
    <row r="30" spans="2:34" ht="21.5" x14ac:dyDescent="0.75">
      <c r="J30" s="592"/>
      <c r="K30" s="56" t="s">
        <v>127</v>
      </c>
      <c r="L30" s="60">
        <f>L28/L29</f>
        <v>0.93581887735995617</v>
      </c>
      <c r="M30" s="60">
        <f t="shared" ref="M30:R30" si="22">M28/M29</f>
        <v>0.9125589846979727</v>
      </c>
      <c r="N30" s="60">
        <f t="shared" si="22"/>
        <v>0.82357049532302462</v>
      </c>
      <c r="O30" s="60">
        <f t="shared" si="22"/>
        <v>0.83358697594112874</v>
      </c>
      <c r="P30" s="60">
        <f t="shared" si="22"/>
        <v>0.87448354732162181</v>
      </c>
      <c r="Q30" s="60">
        <f t="shared" si="22"/>
        <v>0.88594296715785215</v>
      </c>
      <c r="R30" s="60">
        <f t="shared" si="22"/>
        <v>0.86048594880545737</v>
      </c>
      <c r="S30" s="60">
        <f>S28/S29</f>
        <v>0.79867953532497526</v>
      </c>
      <c r="T30" s="101">
        <f>T28/T29</f>
        <v>0.90662181359701921</v>
      </c>
      <c r="U30" s="101">
        <f>U28/U29</f>
        <v>0.91378804573124384</v>
      </c>
    </row>
    <row r="31" spans="2:34" x14ac:dyDescent="0.65">
      <c r="K31" s="54"/>
      <c r="L31" s="54"/>
    </row>
    <row r="32" spans="2:34" x14ac:dyDescent="0.65">
      <c r="K32" s="48" t="s">
        <v>124</v>
      </c>
      <c r="L32" s="48" t="s">
        <v>36</v>
      </c>
    </row>
    <row r="33" spans="11:12" x14ac:dyDescent="0.65">
      <c r="K33" s="48">
        <v>1</v>
      </c>
      <c r="L33" s="48">
        <v>6.2898107999999997</v>
      </c>
    </row>
  </sheetData>
  <mergeCells count="4">
    <mergeCell ref="J3:J6"/>
    <mergeCell ref="J9:J12"/>
    <mergeCell ref="J15:J21"/>
    <mergeCell ref="J24:J30"/>
  </mergeCells>
  <pageMargins left="0.7" right="0.7" top="0.75" bottom="0.75" header="0.3" footer="0.3"/>
  <pageSetup orientation="portrait" r:id="rId1"/>
  <ignoredErrors>
    <ignoredError sqref="C11 E11:H11" 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30"/>
  <sheetViews>
    <sheetView zoomScale="30" zoomScaleNormal="30" workbookViewId="0">
      <selection activeCell="I44" sqref="I44"/>
    </sheetView>
  </sheetViews>
  <sheetFormatPr defaultColWidth="8.81640625" defaultRowHeight="19.899999999999999" x14ac:dyDescent="0.65"/>
  <cols>
    <col min="1" max="1" width="8.81640625" style="70"/>
    <col min="2" max="2" width="57.453125" style="70" bestFit="1" customWidth="1"/>
    <col min="3" max="3" width="23.81640625" style="70" bestFit="1" customWidth="1"/>
    <col min="4" max="8" width="25.453125" style="70" bestFit="1" customWidth="1"/>
    <col min="9" max="10" width="8.81640625" style="70"/>
    <col min="11" max="11" width="36.90625" style="70" bestFit="1" customWidth="1"/>
    <col min="12" max="12" width="15.81640625" style="70" customWidth="1"/>
    <col min="13" max="14" width="21.6328125" style="70" bestFit="1" customWidth="1"/>
    <col min="15" max="15" width="31.54296875" style="70" bestFit="1" customWidth="1"/>
    <col min="16" max="16" width="35.1796875" style="70" bestFit="1" customWidth="1"/>
    <col min="17" max="17" width="36.08984375" style="70" bestFit="1" customWidth="1"/>
    <col min="18" max="22" width="7.81640625" style="70" customWidth="1"/>
    <col min="23" max="23" width="15.54296875" style="70" bestFit="1" customWidth="1"/>
    <col min="24" max="24" width="16.90625" style="70" bestFit="1" customWidth="1"/>
    <col min="25" max="25" width="21" style="70" bestFit="1" customWidth="1"/>
    <col min="26" max="26" width="18.08984375" style="70" bestFit="1" customWidth="1"/>
    <col min="27" max="27" width="26.1796875" style="70" bestFit="1" customWidth="1"/>
    <col min="28" max="28" width="26.08984375" style="70" bestFit="1" customWidth="1"/>
    <col min="29" max="16384" width="8.81640625" style="70"/>
  </cols>
  <sheetData>
    <row r="2" spans="2:22" x14ac:dyDescent="0.65">
      <c r="D2" s="48" t="s">
        <v>124</v>
      </c>
      <c r="E2" s="48" t="s">
        <v>36</v>
      </c>
    </row>
    <row r="3" spans="2:22" x14ac:dyDescent="0.65">
      <c r="D3" s="48">
        <v>1</v>
      </c>
      <c r="E3" s="48">
        <v>6.2898107999999997</v>
      </c>
    </row>
    <row r="4" spans="2:22" x14ac:dyDescent="0.65">
      <c r="I4" s="35"/>
      <c r="J4" s="35"/>
    </row>
    <row r="5" spans="2:22" x14ac:dyDescent="0.65">
      <c r="B5" s="94" t="s">
        <v>614</v>
      </c>
      <c r="C5" s="71" t="s">
        <v>633</v>
      </c>
      <c r="D5" s="71">
        <v>1400</v>
      </c>
      <c r="E5" s="71">
        <v>1401</v>
      </c>
      <c r="F5" s="71">
        <v>1402</v>
      </c>
      <c r="G5" s="71">
        <v>1403</v>
      </c>
      <c r="H5" s="71">
        <v>1404</v>
      </c>
      <c r="I5" s="35"/>
      <c r="J5" s="35"/>
      <c r="K5" s="68" t="s">
        <v>2</v>
      </c>
      <c r="L5" s="69">
        <v>1396</v>
      </c>
      <c r="M5" s="69">
        <v>1397</v>
      </c>
      <c r="N5" s="69">
        <v>1398</v>
      </c>
      <c r="O5" s="69">
        <v>1399</v>
      </c>
      <c r="P5" s="69" t="s">
        <v>169</v>
      </c>
    </row>
    <row r="6" spans="2:22" x14ac:dyDescent="0.65">
      <c r="B6" s="29" t="s">
        <v>128</v>
      </c>
      <c r="C6" s="31">
        <v>350</v>
      </c>
      <c r="D6" s="31">
        <v>350</v>
      </c>
      <c r="E6" s="31">
        <v>350</v>
      </c>
      <c r="F6" s="31">
        <v>350</v>
      </c>
      <c r="G6" s="31">
        <v>350</v>
      </c>
      <c r="H6" s="31">
        <v>350</v>
      </c>
      <c r="I6" s="35"/>
      <c r="J6" s="35"/>
      <c r="K6" s="71" t="s">
        <v>19</v>
      </c>
      <c r="L6" s="22">
        <v>199721637</v>
      </c>
      <c r="M6" s="22">
        <v>430463375</v>
      </c>
      <c r="N6" s="22">
        <v>678758101</v>
      </c>
      <c r="O6" s="22">
        <v>759175124</v>
      </c>
      <c r="P6" s="79">
        <v>1228583264</v>
      </c>
    </row>
    <row r="7" spans="2:22" x14ac:dyDescent="0.65">
      <c r="B7" s="29" t="s">
        <v>631</v>
      </c>
      <c r="C7" s="31">
        <f>C6*365/4</f>
        <v>31937.5</v>
      </c>
      <c r="D7" s="31">
        <f>D6*365</f>
        <v>127750</v>
      </c>
      <c r="E7" s="31">
        <f t="shared" ref="E7:H7" si="0">E6*365</f>
        <v>127750</v>
      </c>
      <c r="F7" s="31">
        <f t="shared" si="0"/>
        <v>127750</v>
      </c>
      <c r="G7" s="31">
        <f t="shared" si="0"/>
        <v>127750</v>
      </c>
      <c r="H7" s="31">
        <f t="shared" si="0"/>
        <v>127750</v>
      </c>
      <c r="I7" s="35"/>
      <c r="J7" s="35"/>
      <c r="K7" s="71" t="s">
        <v>24</v>
      </c>
      <c r="L7" s="22">
        <v>202364584</v>
      </c>
      <c r="M7" s="22">
        <v>408773170</v>
      </c>
      <c r="N7" s="22">
        <v>653183122</v>
      </c>
      <c r="O7" s="22">
        <v>780168572</v>
      </c>
      <c r="P7" s="79">
        <v>1172630995</v>
      </c>
    </row>
    <row r="8" spans="2:22" ht="21.5" x14ac:dyDescent="0.65">
      <c r="B8" s="31" t="s">
        <v>138</v>
      </c>
      <c r="C8" s="102">
        <v>0.91400000000000003</v>
      </c>
      <c r="D8" s="102">
        <v>0.91100000000000003</v>
      </c>
      <c r="E8" s="80">
        <v>0.90500000000000003</v>
      </c>
      <c r="F8" s="80">
        <v>0.9</v>
      </c>
      <c r="G8" s="80">
        <v>0.89500000000000002</v>
      </c>
      <c r="H8" s="80">
        <v>0.89</v>
      </c>
      <c r="I8" s="35"/>
      <c r="J8" s="35"/>
      <c r="K8" s="72" t="s">
        <v>163</v>
      </c>
      <c r="L8" s="81">
        <v>1.0132331531009833</v>
      </c>
      <c r="M8" s="81">
        <v>0.9496119617609744</v>
      </c>
      <c r="N8" s="81">
        <v>0.96232092263455726</v>
      </c>
      <c r="O8" s="81">
        <v>1.0276529714111127</v>
      </c>
      <c r="P8" s="80">
        <f>P7/P6</f>
        <v>0.95445789419446303</v>
      </c>
    </row>
    <row r="9" spans="2:22" x14ac:dyDescent="0.65">
      <c r="B9" s="31" t="s">
        <v>632</v>
      </c>
      <c r="C9" s="105">
        <f>C8*C7</f>
        <v>29190.875</v>
      </c>
      <c r="D9" s="105">
        <f t="shared" ref="D9:H9" si="1">D8*D7</f>
        <v>116380.25</v>
      </c>
      <c r="E9" s="105">
        <f t="shared" si="1"/>
        <v>115613.75</v>
      </c>
      <c r="F9" s="105">
        <f t="shared" si="1"/>
        <v>114975</v>
      </c>
      <c r="G9" s="105">
        <f t="shared" si="1"/>
        <v>114336.25</v>
      </c>
      <c r="H9" s="105">
        <f t="shared" si="1"/>
        <v>113697.5</v>
      </c>
      <c r="I9" s="35"/>
      <c r="J9" s="35"/>
      <c r="Q9" s="36"/>
      <c r="R9" s="36"/>
      <c r="S9" s="36"/>
      <c r="T9" s="36"/>
      <c r="U9" s="36"/>
      <c r="V9" s="36"/>
    </row>
    <row r="10" spans="2:22" x14ac:dyDescent="0.65">
      <c r="B10" s="31" t="s">
        <v>47</v>
      </c>
      <c r="C10" s="83">
        <f xml:space="preserve"> AVERAGE($M$15:$P$15)</f>
        <v>0.94374386810483513</v>
      </c>
      <c r="D10" s="83">
        <f t="shared" ref="D10:H10" si="2" xml:space="preserve"> AVERAGE($M$15:$P$15)</f>
        <v>0.94374386810483513</v>
      </c>
      <c r="E10" s="83">
        <f t="shared" si="2"/>
        <v>0.94374386810483513</v>
      </c>
      <c r="F10" s="83">
        <f t="shared" si="2"/>
        <v>0.94374386810483513</v>
      </c>
      <c r="G10" s="83">
        <f t="shared" si="2"/>
        <v>0.94374386810483513</v>
      </c>
      <c r="H10" s="83">
        <f t="shared" si="2"/>
        <v>0.94374386810483513</v>
      </c>
      <c r="I10" s="35"/>
      <c r="J10" s="35"/>
    </row>
    <row r="11" spans="2:22" x14ac:dyDescent="0.65">
      <c r="B11" s="31" t="s">
        <v>649</v>
      </c>
      <c r="C11" s="106">
        <f>C10*C9</f>
        <v>27548.70928586473</v>
      </c>
      <c r="D11" s="106">
        <f t="shared" ref="D11:H11" si="3">D10*D9</f>
        <v>109833.14730600774</v>
      </c>
      <c r="E11" s="106">
        <f t="shared" si="3"/>
        <v>109109.76763110538</v>
      </c>
      <c r="F11" s="106">
        <f t="shared" si="3"/>
        <v>108506.95123535342</v>
      </c>
      <c r="G11" s="106">
        <f t="shared" si="3"/>
        <v>107904.13483960145</v>
      </c>
      <c r="H11" s="106">
        <f t="shared" si="3"/>
        <v>107301.31844384949</v>
      </c>
      <c r="I11" s="35"/>
      <c r="J11" s="593" t="s">
        <v>616</v>
      </c>
      <c r="K11" s="12" t="s">
        <v>39</v>
      </c>
      <c r="L11" s="47"/>
      <c r="M11" s="47">
        <v>1397</v>
      </c>
      <c r="N11" s="47">
        <v>1398</v>
      </c>
      <c r="O11" s="47">
        <v>1399</v>
      </c>
      <c r="P11" s="69" t="s">
        <v>169</v>
      </c>
    </row>
    <row r="12" spans="2:22" x14ac:dyDescent="0.65">
      <c r="B12" s="31" t="s">
        <v>48</v>
      </c>
      <c r="C12" s="83">
        <f>1-C10</f>
        <v>5.6256131895164874E-2</v>
      </c>
      <c r="D12" s="83">
        <f t="shared" ref="D12:H12" si="4">1-D10</f>
        <v>5.6256131895164874E-2</v>
      </c>
      <c r="E12" s="83">
        <f t="shared" si="4"/>
        <v>5.6256131895164874E-2</v>
      </c>
      <c r="F12" s="83">
        <f t="shared" si="4"/>
        <v>5.6256131895164874E-2</v>
      </c>
      <c r="G12" s="83">
        <f t="shared" si="4"/>
        <v>5.6256131895164874E-2</v>
      </c>
      <c r="H12" s="83">
        <f t="shared" si="4"/>
        <v>5.6256131895164874E-2</v>
      </c>
      <c r="I12" s="35"/>
      <c r="J12" s="593"/>
      <c r="K12" s="14" t="s">
        <v>0</v>
      </c>
      <c r="L12" s="14" t="s">
        <v>36</v>
      </c>
      <c r="M12" s="14">
        <v>5885721</v>
      </c>
      <c r="N12" s="14">
        <v>5153814</v>
      </c>
      <c r="O12" s="14">
        <v>5915052</v>
      </c>
      <c r="P12" s="82">
        <v>6317558</v>
      </c>
    </row>
    <row r="13" spans="2:22" x14ac:dyDescent="0.65">
      <c r="B13" s="31" t="s">
        <v>650</v>
      </c>
      <c r="C13" s="106">
        <f>C12*C9</f>
        <v>1642.1657141352709</v>
      </c>
      <c r="D13" s="106">
        <f t="shared" ref="D13:H13" si="5">D12*D9</f>
        <v>6547.1026939922622</v>
      </c>
      <c r="E13" s="106">
        <f t="shared" si="5"/>
        <v>6503.982368894618</v>
      </c>
      <c r="F13" s="106">
        <f t="shared" si="5"/>
        <v>6468.0487646465817</v>
      </c>
      <c r="G13" s="106">
        <f t="shared" si="5"/>
        <v>6432.1151603985445</v>
      </c>
      <c r="H13" s="106">
        <f t="shared" si="5"/>
        <v>6396.1815561505082</v>
      </c>
      <c r="I13" s="35"/>
      <c r="J13" s="593"/>
      <c r="K13" s="14" t="s">
        <v>1</v>
      </c>
      <c r="L13" s="14" t="s">
        <v>36</v>
      </c>
      <c r="M13" s="14">
        <v>109015479</v>
      </c>
      <c r="N13" s="14">
        <v>107451465</v>
      </c>
      <c r="O13" s="14">
        <v>97990129</v>
      </c>
      <c r="P13" s="82">
        <v>82531879</v>
      </c>
    </row>
    <row r="14" spans="2:22" x14ac:dyDescent="0.65">
      <c r="B14" s="31" t="s">
        <v>160</v>
      </c>
      <c r="C14" s="105">
        <f>رویترز!F7</f>
        <v>87.115000000000009</v>
      </c>
      <c r="D14" s="105">
        <f>رویترز!G7</f>
        <v>73.716250000000002</v>
      </c>
      <c r="E14" s="105">
        <f>رویترز!H7</f>
        <v>82</v>
      </c>
      <c r="F14" s="105">
        <f>رویترز!I7</f>
        <v>83</v>
      </c>
      <c r="G14" s="105">
        <f>رویترز!J7</f>
        <v>83</v>
      </c>
      <c r="H14" s="105">
        <f>رویترز!K7</f>
        <v>82</v>
      </c>
      <c r="I14" s="35"/>
      <c r="J14" s="593"/>
      <c r="K14" s="14"/>
      <c r="L14" s="14"/>
      <c r="M14" s="14">
        <v>114901200</v>
      </c>
      <c r="N14" s="14">
        <v>112605279</v>
      </c>
      <c r="O14" s="76">
        <v>103905181</v>
      </c>
      <c r="P14" s="82">
        <f>P12+P13</f>
        <v>88849437</v>
      </c>
    </row>
    <row r="15" spans="2:22" x14ac:dyDescent="0.65">
      <c r="B15" s="31" t="s">
        <v>607</v>
      </c>
      <c r="C15" s="31"/>
      <c r="D15" s="31"/>
      <c r="E15" s="29">
        <f>E14/D14-1</f>
        <v>0.11237345904057783</v>
      </c>
      <c r="F15" s="29">
        <f>F14/E14-1</f>
        <v>1.2195121951219523E-2</v>
      </c>
      <c r="G15" s="29">
        <f>G14/F14-1</f>
        <v>0</v>
      </c>
      <c r="H15" s="29">
        <f>H14/G14-1</f>
        <v>-1.2048192771084376E-2</v>
      </c>
      <c r="I15" s="35"/>
      <c r="J15" s="593"/>
      <c r="K15" s="48" t="s">
        <v>49</v>
      </c>
      <c r="L15" s="48"/>
      <c r="M15" s="63">
        <f>M13/M14</f>
        <v>0.94877580912993076</v>
      </c>
      <c r="N15" s="63">
        <f t="shared" ref="N15" si="6">N13/N14</f>
        <v>0.95423115109905288</v>
      </c>
      <c r="O15" s="63">
        <f t="shared" ref="O15" si="7">O13/O14</f>
        <v>0.94307259808343913</v>
      </c>
      <c r="P15" s="80">
        <f>P13/P14</f>
        <v>0.92889591410691774</v>
      </c>
    </row>
    <row r="16" spans="2:22" x14ac:dyDescent="0.65">
      <c r="B16" s="31" t="s">
        <v>612</v>
      </c>
      <c r="C16" s="97">
        <f>P29</f>
        <v>83.026570397111911</v>
      </c>
      <c r="D16" s="97">
        <f>P30</f>
        <v>72.22225119579025</v>
      </c>
      <c r="E16" s="97">
        <f>D16*(1+E15)</f>
        <v>80.338115382358708</v>
      </c>
      <c r="F16" s="97">
        <f t="shared" ref="F16:H16" si="8">E16*(1+F15)</f>
        <v>81.317848496777714</v>
      </c>
      <c r="G16" s="97">
        <f t="shared" si="8"/>
        <v>81.317848496777714</v>
      </c>
      <c r="H16" s="97">
        <f t="shared" si="8"/>
        <v>80.338115382358708</v>
      </c>
      <c r="I16" s="35"/>
      <c r="J16" s="593"/>
      <c r="K16" s="48" t="s">
        <v>50</v>
      </c>
      <c r="L16" s="48"/>
      <c r="M16" s="77">
        <f>1-M15</f>
        <v>5.1224190870069242E-2</v>
      </c>
      <c r="N16" s="77">
        <f t="shared" ref="N16" si="9">1-N15</f>
        <v>4.5768848900947123E-2</v>
      </c>
      <c r="O16" s="77">
        <f t="shared" ref="O16" si="10">1-O15</f>
        <v>5.6927401916560871E-2</v>
      </c>
      <c r="P16" s="83">
        <f>1-P15</f>
        <v>7.1104085893082258E-2</v>
      </c>
    </row>
    <row r="17" spans="2:16" x14ac:dyDescent="0.65">
      <c r="B17" s="31" t="s">
        <v>18</v>
      </c>
      <c r="C17" s="29">
        <v>0.05</v>
      </c>
      <c r="D17" s="29">
        <v>0.05</v>
      </c>
      <c r="E17" s="29">
        <v>0.05</v>
      </c>
      <c r="F17" s="29">
        <v>0.05</v>
      </c>
      <c r="G17" s="29">
        <v>0.05</v>
      </c>
      <c r="H17" s="29">
        <v>0.05</v>
      </c>
      <c r="I17" s="35"/>
      <c r="J17" s="35"/>
    </row>
    <row r="18" spans="2:16" x14ac:dyDescent="0.65">
      <c r="B18" s="31" t="s">
        <v>613</v>
      </c>
      <c r="C18" s="97">
        <f>(1-C17)*C16</f>
        <v>78.875241877256315</v>
      </c>
      <c r="D18" s="97">
        <f>D16*(1-D17)</f>
        <v>68.611138636000732</v>
      </c>
      <c r="E18" s="97">
        <f t="shared" ref="E18:H18" si="11">E16*(1-E17)</f>
        <v>76.321209613240768</v>
      </c>
      <c r="F18" s="97">
        <f t="shared" si="11"/>
        <v>77.251956071938821</v>
      </c>
      <c r="G18" s="97">
        <f t="shared" si="11"/>
        <v>77.251956071938821</v>
      </c>
      <c r="H18" s="97">
        <f t="shared" si="11"/>
        <v>76.321209613240768</v>
      </c>
      <c r="I18" s="35"/>
      <c r="J18" s="594" t="s">
        <v>617</v>
      </c>
      <c r="K18" s="78" t="s">
        <v>38</v>
      </c>
      <c r="L18" s="46"/>
      <c r="M18" s="46">
        <v>1397</v>
      </c>
      <c r="N18" s="46">
        <v>1398</v>
      </c>
      <c r="O18" s="46">
        <v>1399</v>
      </c>
      <c r="P18" s="69" t="s">
        <v>169</v>
      </c>
    </row>
    <row r="19" spans="2:16" x14ac:dyDescent="0.65">
      <c r="B19" s="31" t="s">
        <v>655</v>
      </c>
      <c r="C19" s="98">
        <f>L24</f>
        <v>254534.51100000003</v>
      </c>
      <c r="D19" s="98">
        <f>L23</f>
        <v>226259.63594470045</v>
      </c>
      <c r="E19" s="98">
        <v>297493.6522533698</v>
      </c>
      <c r="F19" s="98">
        <v>371867.06531671225</v>
      </c>
      <c r="G19" s="98">
        <v>464833.83164589031</v>
      </c>
      <c r="H19" s="98">
        <v>581042.28955736291</v>
      </c>
      <c r="I19" s="35"/>
      <c r="J19" s="594"/>
      <c r="K19" s="14" t="s">
        <v>0</v>
      </c>
      <c r="L19" s="14" t="s">
        <v>37</v>
      </c>
      <c r="M19" s="23">
        <v>3815054</v>
      </c>
      <c r="N19" s="23">
        <v>6188901</v>
      </c>
      <c r="O19" s="96">
        <v>7245828</v>
      </c>
      <c r="P19" s="95">
        <v>14176014</v>
      </c>
    </row>
    <row r="20" spans="2:16" x14ac:dyDescent="0.65">
      <c r="B20" s="31" t="s">
        <v>623</v>
      </c>
      <c r="C20" s="109">
        <f>C18*C19</f>
        <v>20076471.12123416</v>
      </c>
      <c r="D20" s="109">
        <f>D18*D19</f>
        <v>15523931.249532897</v>
      </c>
      <c r="E20" s="109">
        <f t="shared" ref="E20:H20" si="12">E18*E19</f>
        <v>22705075.392237995</v>
      </c>
      <c r="F20" s="109">
        <f t="shared" si="12"/>
        <v>28727458.194447458</v>
      </c>
      <c r="G20" s="109">
        <f t="shared" si="12"/>
        <v>35909322.743059322</v>
      </c>
      <c r="H20" s="109">
        <f t="shared" si="12"/>
        <v>44345850.375464834</v>
      </c>
      <c r="I20" s="35"/>
      <c r="J20" s="594"/>
      <c r="K20" s="14" t="s">
        <v>1</v>
      </c>
      <c r="L20" s="14" t="s">
        <v>37</v>
      </c>
      <c r="M20" s="23">
        <v>3829023</v>
      </c>
      <c r="N20" s="23">
        <v>6167509</v>
      </c>
      <c r="O20" s="23">
        <v>7522043</v>
      </c>
      <c r="P20" s="95">
        <v>13718180</v>
      </c>
    </row>
    <row r="21" spans="2:16" x14ac:dyDescent="0.65">
      <c r="B21" s="31" t="s">
        <v>667</v>
      </c>
      <c r="C21" s="109">
        <f>C20*C11*1000/10000000000</f>
        <v>55308.086640493864</v>
      </c>
      <c r="D21" s="109">
        <f t="shared" ref="D21:H21" si="13">D20*D11*1000/10000000000</f>
        <v>170504.22276982834</v>
      </c>
      <c r="E21" s="109">
        <f t="shared" si="13"/>
        <v>247734.55000938164</v>
      </c>
      <c r="F21" s="109">
        <f t="shared" si="13"/>
        <v>311712.89054205647</v>
      </c>
      <c r="G21" s="109">
        <f t="shared" si="13"/>
        <v>387476.44032658404</v>
      </c>
      <c r="H21" s="109">
        <f t="shared" si="13"/>
        <v>475836.82128010551</v>
      </c>
      <c r="I21" s="35"/>
      <c r="J21" s="594"/>
      <c r="K21" s="14" t="s">
        <v>51</v>
      </c>
      <c r="L21" s="14" t="s">
        <v>37</v>
      </c>
      <c r="M21" s="74">
        <f>M19/M20</f>
        <v>0.99635181089275249</v>
      </c>
      <c r="N21" s="74">
        <f t="shared" ref="N21:O21" si="14">N19/N20</f>
        <v>1.0034684991947316</v>
      </c>
      <c r="O21" s="74">
        <f t="shared" si="14"/>
        <v>0.96327925804199732</v>
      </c>
      <c r="P21" s="80">
        <f>P20/P19</f>
        <v>0.96770361541685834</v>
      </c>
    </row>
    <row r="22" spans="2:16" x14ac:dyDescent="0.65">
      <c r="B22" s="31" t="s">
        <v>615</v>
      </c>
      <c r="C22" s="99">
        <f>AVERAGE($M$21:$P$21)</f>
        <v>0.98270079588658499</v>
      </c>
      <c r="D22" s="99">
        <f t="shared" ref="D22:H22" si="15">AVERAGE($M$21:$P$21)</f>
        <v>0.98270079588658499</v>
      </c>
      <c r="E22" s="99">
        <f t="shared" si="15"/>
        <v>0.98270079588658499</v>
      </c>
      <c r="F22" s="99">
        <f t="shared" si="15"/>
        <v>0.98270079588658499</v>
      </c>
      <c r="G22" s="99">
        <f t="shared" si="15"/>
        <v>0.98270079588658499</v>
      </c>
      <c r="H22" s="99">
        <f t="shared" si="15"/>
        <v>0.98270079588658499</v>
      </c>
      <c r="I22" s="35"/>
      <c r="J22" s="35"/>
      <c r="K22" s="90"/>
      <c r="L22" s="90"/>
      <c r="M22" s="91"/>
      <c r="N22" s="91"/>
      <c r="O22" s="91"/>
    </row>
    <row r="23" spans="2:16" x14ac:dyDescent="0.65">
      <c r="B23" s="31" t="s">
        <v>668</v>
      </c>
      <c r="C23" s="109">
        <f>C20*C22*C13*1000/10000000000</f>
        <v>3239.8556934742096</v>
      </c>
      <c r="D23" s="109">
        <f t="shared" ref="D23:H23" si="16">D20*D22*D13*1000/10000000000</f>
        <v>9987.8536839091557</v>
      </c>
      <c r="E23" s="109">
        <f t="shared" si="16"/>
        <v>14511.877757321019</v>
      </c>
      <c r="F23" s="109">
        <f t="shared" si="16"/>
        <v>18259.622498178811</v>
      </c>
      <c r="G23" s="109">
        <f t="shared" si="16"/>
        <v>22697.72518870838</v>
      </c>
      <c r="H23" s="109">
        <f t="shared" si="16"/>
        <v>27873.729290434439</v>
      </c>
      <c r="I23" s="35"/>
      <c r="J23" s="35"/>
      <c r="K23" s="92" t="s">
        <v>611</v>
      </c>
      <c r="L23" s="93">
        <f>'  ارز-دلار نیمایی      '!D5</f>
        <v>226259.63594470045</v>
      </c>
    </row>
    <row r="24" spans="2:16" x14ac:dyDescent="0.65">
      <c r="B24" s="31" t="s">
        <v>669</v>
      </c>
      <c r="C24" s="109">
        <f>C23+C21</f>
        <v>58547.942333968072</v>
      </c>
      <c r="D24" s="109">
        <f t="shared" ref="D24:H24" si="17">D23+D21</f>
        <v>180492.07645373751</v>
      </c>
      <c r="E24" s="109">
        <f t="shared" si="17"/>
        <v>262246.42776670266</v>
      </c>
      <c r="F24" s="109">
        <f t="shared" si="17"/>
        <v>329972.51304023527</v>
      </c>
      <c r="G24" s="109">
        <f t="shared" si="17"/>
        <v>410174.16551529244</v>
      </c>
      <c r="H24" s="109">
        <f t="shared" si="17"/>
        <v>503710.55057053996</v>
      </c>
      <c r="I24" s="35"/>
      <c r="J24" s="35"/>
      <c r="K24" s="92" t="s">
        <v>654</v>
      </c>
      <c r="L24" s="93">
        <f>'پیش بینی فروش'!C14</f>
        <v>254534.51100000003</v>
      </c>
    </row>
    <row r="25" spans="2:16" ht="20.05" customHeight="1" x14ac:dyDescent="0.65">
      <c r="B25" s="31" t="s">
        <v>25</v>
      </c>
      <c r="C25" s="83">
        <f>AVERAGE($L$8:$P$8)</f>
        <v>0.98145538062041804</v>
      </c>
      <c r="D25" s="83">
        <f t="shared" ref="D25:H25" si="18">AVERAGE($L$8:$P$8)</f>
        <v>0.98145538062041804</v>
      </c>
      <c r="E25" s="83">
        <f t="shared" si="18"/>
        <v>0.98145538062041804</v>
      </c>
      <c r="F25" s="83">
        <f t="shared" si="18"/>
        <v>0.98145538062041804</v>
      </c>
      <c r="G25" s="83">
        <f t="shared" si="18"/>
        <v>0.98145538062041804</v>
      </c>
      <c r="H25" s="83">
        <f t="shared" si="18"/>
        <v>0.98145538062041804</v>
      </c>
      <c r="I25" s="35"/>
      <c r="J25" s="596" t="s">
        <v>617</v>
      </c>
      <c r="K25" s="595" t="s">
        <v>600</v>
      </c>
      <c r="L25" s="595"/>
      <c r="M25" s="595"/>
      <c r="N25" s="595"/>
      <c r="O25" s="595"/>
      <c r="P25" s="595"/>
    </row>
    <row r="26" spans="2:16" x14ac:dyDescent="0.65">
      <c r="B26" s="71" t="s">
        <v>670</v>
      </c>
      <c r="C26" s="109">
        <f>C24*C25</f>
        <v>57462.193027926922</v>
      </c>
      <c r="D26" s="109">
        <f>D24*D25</f>
        <v>177144.91959487254</v>
      </c>
      <c r="E26" s="109">
        <f t="shared" ref="E26:H26" si="19">E24*E25</f>
        <v>257383.16758011412</v>
      </c>
      <c r="F26" s="109">
        <f t="shared" si="19"/>
        <v>323853.29838017997</v>
      </c>
      <c r="G26" s="109">
        <f t="shared" si="19"/>
        <v>402567.64173647371</v>
      </c>
      <c r="H26" s="109">
        <f t="shared" si="19"/>
        <v>494369.43013272964</v>
      </c>
      <c r="I26" s="35"/>
      <c r="J26" s="597"/>
      <c r="K26" s="87"/>
      <c r="L26" s="87" t="s">
        <v>620</v>
      </c>
      <c r="M26" s="87" t="s">
        <v>622</v>
      </c>
      <c r="N26" s="87" t="s">
        <v>608</v>
      </c>
      <c r="O26" s="87" t="s">
        <v>609</v>
      </c>
      <c r="P26" s="87" t="s">
        <v>610</v>
      </c>
    </row>
    <row r="27" spans="2:16" x14ac:dyDescent="0.65">
      <c r="I27" s="35"/>
      <c r="J27" s="597"/>
      <c r="K27" s="87" t="s">
        <v>618</v>
      </c>
      <c r="L27" s="112">
        <v>79869366</v>
      </c>
      <c r="M27" s="110">
        <v>14176014</v>
      </c>
      <c r="N27" s="89">
        <f>M27/$L$23</f>
        <v>62.653747058378208</v>
      </c>
      <c r="O27" s="88">
        <v>0.05</v>
      </c>
      <c r="P27" s="89">
        <f>N27/(1-O27)</f>
        <v>65.951312693029692</v>
      </c>
    </row>
    <row r="28" spans="2:16" x14ac:dyDescent="0.65">
      <c r="J28" s="597"/>
      <c r="K28" s="73" t="s">
        <v>619</v>
      </c>
      <c r="L28" s="98">
        <v>28569000</v>
      </c>
      <c r="M28" s="98">
        <v>15590579</v>
      </c>
      <c r="N28" s="89">
        <f>M28/$L$23</f>
        <v>68.905701783284286</v>
      </c>
      <c r="O28" s="88">
        <v>0.05</v>
      </c>
      <c r="P28" s="89">
        <f>N28/(1-O28)</f>
        <v>72.532317666615043</v>
      </c>
    </row>
    <row r="29" spans="2:16" x14ac:dyDescent="0.65">
      <c r="J29" s="597"/>
      <c r="K29" s="31" t="s">
        <v>652</v>
      </c>
      <c r="L29" s="98">
        <v>28569000</v>
      </c>
      <c r="M29" s="98">
        <f>L24*P29</f>
        <v>21133127.49603596</v>
      </c>
      <c r="N29" s="89">
        <f>(1-O29)*P29</f>
        <v>78.875241877256315</v>
      </c>
      <c r="O29" s="88">
        <v>0.05</v>
      </c>
      <c r="P29" s="89">
        <f>رویترز!F7/رویترز!P6</f>
        <v>83.026570397111911</v>
      </c>
    </row>
    <row r="30" spans="2:16" x14ac:dyDescent="0.65">
      <c r="J30" s="597"/>
      <c r="K30" s="31" t="s">
        <v>621</v>
      </c>
      <c r="L30" s="73"/>
      <c r="M30" s="111">
        <f>(M27*L27/(L27+L29))+M29*L29/(L27+L29)</f>
        <v>16008924.092616588</v>
      </c>
      <c r="N30" s="89">
        <f>M30/(($L$23*3+L24)/4)</f>
        <v>68.611138636000732</v>
      </c>
      <c r="O30" s="88">
        <v>0.05</v>
      </c>
      <c r="P30" s="89">
        <f>N30/(1-O30)</f>
        <v>72.22225119579025</v>
      </c>
    </row>
  </sheetData>
  <mergeCells count="4">
    <mergeCell ref="J11:J16"/>
    <mergeCell ref="J18:J21"/>
    <mergeCell ref="K25:P25"/>
    <mergeCell ref="J25:J30"/>
  </mergeCells>
  <pageMargins left="0.7" right="0.7" top="0.75" bottom="0.75" header="0.3" footer="0.3"/>
  <ignoredErrors>
    <ignoredError sqref="N29 P29 C10:H10"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zoomScale="20" zoomScaleNormal="20" workbookViewId="0">
      <selection activeCell="N53" sqref="N53"/>
    </sheetView>
  </sheetViews>
  <sheetFormatPr defaultColWidth="8.81640625" defaultRowHeight="19.899999999999999" x14ac:dyDescent="0.65"/>
  <cols>
    <col min="1" max="1" width="15.6328125" style="449" customWidth="1"/>
    <col min="2" max="2" width="65.90625" style="449" bestFit="1" customWidth="1"/>
    <col min="3" max="3" width="20.08984375" style="449" bestFit="1" customWidth="1"/>
    <col min="4" max="5" width="20.1796875" style="449" bestFit="1" customWidth="1"/>
    <col min="6" max="6" width="20.08984375" style="449" bestFit="1" customWidth="1"/>
    <col min="7" max="8" width="15.08984375" style="449" bestFit="1" customWidth="1"/>
    <col min="9" max="9" width="14.1796875" style="449" bestFit="1" customWidth="1"/>
    <col min="10" max="10" width="17.81640625" style="449" bestFit="1" customWidth="1"/>
    <col min="11" max="11" width="14.453125" style="449" customWidth="1"/>
    <col min="12" max="12" width="14" style="449" bestFit="1" customWidth="1"/>
    <col min="13" max="13" width="13.7265625" style="449" bestFit="1" customWidth="1"/>
    <col min="14" max="15" width="14" style="449" bestFit="1" customWidth="1"/>
    <col min="16" max="16" width="15.36328125" style="449" bestFit="1" customWidth="1"/>
    <col min="17" max="18" width="8.81640625" style="449"/>
    <col min="19" max="19" width="39.453125" style="449" bestFit="1" customWidth="1"/>
    <col min="20" max="20" width="12.36328125" style="449" bestFit="1" customWidth="1"/>
    <col min="21" max="21" width="11.453125" style="449" bestFit="1" customWidth="1"/>
    <col min="22" max="22" width="12.36328125" style="449" bestFit="1" customWidth="1"/>
    <col min="23" max="23" width="12.453125" style="449" bestFit="1" customWidth="1"/>
    <col min="24" max="24" width="12.1796875" style="449" bestFit="1" customWidth="1"/>
    <col min="25" max="25" width="12.453125" style="449" bestFit="1" customWidth="1"/>
    <col min="26" max="26" width="11.81640625" style="449" bestFit="1" customWidth="1"/>
    <col min="27" max="16384" width="8.81640625" style="449"/>
  </cols>
  <sheetData>
    <row r="1" spans="1:25" x14ac:dyDescent="0.65">
      <c r="A1" s="448"/>
      <c r="B1" s="448"/>
    </row>
    <row r="2" spans="1:25" ht="20.45" thickBot="1" x14ac:dyDescent="0.7">
      <c r="A2" s="448"/>
      <c r="B2" s="448"/>
      <c r="C2" s="448"/>
      <c r="D2" s="448"/>
      <c r="E2" s="448"/>
      <c r="F2" s="448"/>
      <c r="G2" s="448"/>
    </row>
    <row r="3" spans="1:25" ht="21.5" x14ac:dyDescent="0.65">
      <c r="B3" s="450" t="s">
        <v>42</v>
      </c>
      <c r="C3" s="451"/>
      <c r="D3" s="451"/>
      <c r="E3" s="451"/>
      <c r="F3" s="451"/>
      <c r="G3" s="451"/>
      <c r="H3" s="452"/>
    </row>
    <row r="4" spans="1:25" x14ac:dyDescent="0.65">
      <c r="B4" s="453" t="s">
        <v>41</v>
      </c>
      <c r="C4" s="454"/>
      <c r="D4" s="454"/>
      <c r="E4" s="454"/>
      <c r="F4" s="454"/>
      <c r="G4" s="454"/>
      <c r="H4" s="455"/>
    </row>
    <row r="5" spans="1:25" x14ac:dyDescent="0.65">
      <c r="B5" s="453" t="s">
        <v>53</v>
      </c>
      <c r="C5" s="454"/>
      <c r="D5" s="454"/>
      <c r="E5" s="454"/>
      <c r="F5" s="454"/>
      <c r="G5" s="454"/>
      <c r="H5" s="455"/>
    </row>
    <row r="6" spans="1:25" x14ac:dyDescent="0.65">
      <c r="B6" s="456"/>
      <c r="C6" s="457"/>
      <c r="D6" s="457"/>
      <c r="E6" s="457"/>
      <c r="F6" s="457"/>
      <c r="G6" s="457"/>
      <c r="H6" s="458"/>
    </row>
    <row r="7" spans="1:25" ht="20.45" thickBot="1" x14ac:dyDescent="0.7">
      <c r="B7" s="444" t="s">
        <v>52</v>
      </c>
      <c r="C7" s="445">
        <v>95</v>
      </c>
      <c r="D7" s="445">
        <v>96</v>
      </c>
      <c r="E7" s="445">
        <v>97</v>
      </c>
      <c r="F7" s="445">
        <v>98</v>
      </c>
      <c r="G7" s="445">
        <v>99</v>
      </c>
      <c r="H7" s="459" t="s">
        <v>656</v>
      </c>
      <c r="S7" s="34" t="s">
        <v>52</v>
      </c>
      <c r="T7" s="34">
        <v>95</v>
      </c>
      <c r="U7" s="34">
        <v>96</v>
      </c>
      <c r="V7" s="34">
        <v>97</v>
      </c>
      <c r="W7" s="34">
        <v>98</v>
      </c>
      <c r="X7" s="34">
        <v>99</v>
      </c>
      <c r="Y7" s="460" t="s">
        <v>656</v>
      </c>
    </row>
    <row r="8" spans="1:25" x14ac:dyDescent="0.65">
      <c r="B8" s="461" t="s">
        <v>3</v>
      </c>
      <c r="C8" s="462">
        <v>164211304</v>
      </c>
      <c r="D8" s="462">
        <v>222311389</v>
      </c>
      <c r="E8" s="462">
        <v>453226514</v>
      </c>
      <c r="F8" s="462">
        <v>720189020</v>
      </c>
      <c r="G8" s="462">
        <v>894983110</v>
      </c>
      <c r="H8" s="463">
        <v>1326380276</v>
      </c>
      <c r="S8" s="464" t="s">
        <v>54</v>
      </c>
      <c r="T8" s="465">
        <v>14612874</v>
      </c>
      <c r="U8" s="465">
        <v>19946805</v>
      </c>
      <c r="V8" s="465">
        <v>44453344</v>
      </c>
      <c r="W8" s="465">
        <v>67005898</v>
      </c>
      <c r="X8" s="465">
        <v>114814538</v>
      </c>
      <c r="Y8" s="465">
        <v>153749281</v>
      </c>
    </row>
    <row r="9" spans="1:25" x14ac:dyDescent="0.65">
      <c r="B9" s="461" t="s">
        <v>71</v>
      </c>
      <c r="C9" s="462">
        <v>37083679</v>
      </c>
      <c r="D9" s="462">
        <v>51274262</v>
      </c>
      <c r="E9" s="462">
        <v>88340764</v>
      </c>
      <c r="F9" s="462">
        <v>150410087</v>
      </c>
      <c r="G9" s="462">
        <v>155195565</v>
      </c>
      <c r="H9" s="463">
        <v>247256587</v>
      </c>
      <c r="S9" s="466" t="s">
        <v>55</v>
      </c>
      <c r="T9" s="467">
        <v>-2301611</v>
      </c>
      <c r="U9" s="467">
        <v>-5541323</v>
      </c>
      <c r="V9" s="467">
        <v>-4162045</v>
      </c>
      <c r="W9" s="467">
        <v>-5630940</v>
      </c>
      <c r="X9" s="467">
        <v>-10855988</v>
      </c>
      <c r="Y9" s="467">
        <v>-10326790</v>
      </c>
    </row>
    <row r="10" spans="1:25" ht="21.5" x14ac:dyDescent="0.75">
      <c r="B10" s="468" t="s">
        <v>40</v>
      </c>
      <c r="C10" s="469">
        <v>-149598430</v>
      </c>
      <c r="D10" s="469">
        <v>-202364584</v>
      </c>
      <c r="E10" s="469">
        <v>-408773170</v>
      </c>
      <c r="F10" s="469">
        <v>-653183122</v>
      </c>
      <c r="G10" s="469">
        <v>-780168572</v>
      </c>
      <c r="H10" s="470">
        <v>-1172630995</v>
      </c>
      <c r="S10" s="471" t="s">
        <v>79</v>
      </c>
      <c r="T10" s="472">
        <f>-T9/T8</f>
        <v>0.15750570353237836</v>
      </c>
      <c r="U10" s="472">
        <f t="shared" ref="U10:X10" si="0">-U9/U8</f>
        <v>0.27780504196035405</v>
      </c>
      <c r="V10" s="473">
        <f t="shared" si="0"/>
        <v>9.3627264576541191E-2</v>
      </c>
      <c r="W10" s="473">
        <f t="shared" si="0"/>
        <v>8.4036482877969942E-2</v>
      </c>
      <c r="X10" s="473">
        <f t="shared" si="0"/>
        <v>9.4552381511128838E-2</v>
      </c>
      <c r="Y10" s="473">
        <f t="shared" ref="Y10" si="1">-Y9/Y8</f>
        <v>6.7166427919750721E-2</v>
      </c>
    </row>
    <row r="11" spans="1:25" x14ac:dyDescent="0.65">
      <c r="B11" s="474" t="s">
        <v>54</v>
      </c>
      <c r="C11" s="475">
        <v>14612874</v>
      </c>
      <c r="D11" s="475">
        <v>19946805</v>
      </c>
      <c r="E11" s="475">
        <v>44453344</v>
      </c>
      <c r="F11" s="475">
        <v>67005898</v>
      </c>
      <c r="G11" s="475">
        <v>114814538</v>
      </c>
      <c r="H11" s="476">
        <v>153749281</v>
      </c>
    </row>
    <row r="12" spans="1:25" x14ac:dyDescent="0.65">
      <c r="B12" s="468" t="s">
        <v>55</v>
      </c>
      <c r="C12" s="477">
        <v>-2301611</v>
      </c>
      <c r="D12" s="477">
        <v>-5541323</v>
      </c>
      <c r="E12" s="477">
        <v>-4162045</v>
      </c>
      <c r="F12" s="477">
        <v>-5630940</v>
      </c>
      <c r="G12" s="477">
        <v>-10855988</v>
      </c>
      <c r="H12" s="478">
        <v>-10326790</v>
      </c>
    </row>
    <row r="13" spans="1:25" x14ac:dyDescent="0.65">
      <c r="B13" s="468" t="s">
        <v>56</v>
      </c>
      <c r="C13" s="469">
        <v>206648</v>
      </c>
      <c r="D13" s="469">
        <v>519247</v>
      </c>
      <c r="E13" s="469">
        <v>1073224</v>
      </c>
      <c r="F13" s="469">
        <v>-32510307</v>
      </c>
      <c r="G13" s="469">
        <v>49097288</v>
      </c>
      <c r="H13" s="470">
        <v>9237693</v>
      </c>
      <c r="J13" s="479" t="s">
        <v>69</v>
      </c>
      <c r="K13" s="480">
        <v>95</v>
      </c>
      <c r="L13" s="480">
        <v>96</v>
      </c>
      <c r="M13" s="480">
        <v>97</v>
      </c>
      <c r="N13" s="480">
        <v>98</v>
      </c>
      <c r="O13" s="480">
        <v>99</v>
      </c>
      <c r="P13" s="481" t="s">
        <v>656</v>
      </c>
    </row>
    <row r="14" spans="1:25" x14ac:dyDescent="0.65">
      <c r="B14" s="474" t="s">
        <v>57</v>
      </c>
      <c r="C14" s="482">
        <v>12517911</v>
      </c>
      <c r="D14" s="482">
        <v>14924729</v>
      </c>
      <c r="E14" s="482">
        <v>41364523</v>
      </c>
      <c r="F14" s="482">
        <v>28864651</v>
      </c>
      <c r="G14" s="482">
        <v>153055838</v>
      </c>
      <c r="H14" s="483">
        <v>152660184</v>
      </c>
      <c r="J14" s="479" t="s">
        <v>70</v>
      </c>
      <c r="K14" s="484">
        <v>299440</v>
      </c>
      <c r="L14" s="484">
        <v>156882</v>
      </c>
      <c r="M14" s="484">
        <v>199739</v>
      </c>
      <c r="N14" s="484">
        <v>196008</v>
      </c>
      <c r="O14" s="484">
        <v>4453702</v>
      </c>
      <c r="P14" s="484">
        <f>-H15</f>
        <v>1313567</v>
      </c>
    </row>
    <row r="15" spans="1:25" ht="21.5" x14ac:dyDescent="0.65">
      <c r="B15" s="468" t="s">
        <v>58</v>
      </c>
      <c r="C15" s="485">
        <v>-299440</v>
      </c>
      <c r="D15" s="485">
        <v>-156882</v>
      </c>
      <c r="E15" s="485">
        <v>-199739</v>
      </c>
      <c r="F15" s="485">
        <v>-196008</v>
      </c>
      <c r="G15" s="485">
        <v>-258715</v>
      </c>
      <c r="H15" s="486">
        <v>-1313567</v>
      </c>
      <c r="J15" s="466" t="s">
        <v>78</v>
      </c>
      <c r="K15" s="467">
        <v>299440</v>
      </c>
      <c r="L15" s="467">
        <v>156882</v>
      </c>
      <c r="M15" s="467">
        <v>199739</v>
      </c>
      <c r="N15" s="467">
        <v>196008</v>
      </c>
      <c r="O15" s="487">
        <v>258715</v>
      </c>
      <c r="P15" s="487">
        <v>0</v>
      </c>
    </row>
    <row r="16" spans="1:25" x14ac:dyDescent="0.65">
      <c r="B16" s="461" t="s">
        <v>59</v>
      </c>
      <c r="C16" s="488">
        <v>564186</v>
      </c>
      <c r="D16" s="488">
        <v>545429</v>
      </c>
      <c r="E16" s="488">
        <v>2207139</v>
      </c>
      <c r="F16" s="488">
        <v>3878242</v>
      </c>
      <c r="G16" s="488">
        <v>8957087</v>
      </c>
      <c r="H16" s="489">
        <v>8957087</v>
      </c>
    </row>
    <row r="17" spans="2:26" x14ac:dyDescent="0.65">
      <c r="B17" s="461"/>
      <c r="C17" s="490">
        <f>C16/C11</f>
        <v>3.8608832184551786E-2</v>
      </c>
      <c r="D17" s="490">
        <f t="shared" ref="D17:G17" si="2">D16/D11</f>
        <v>2.7344178679242114E-2</v>
      </c>
      <c r="E17" s="490">
        <f>E16/E11</f>
        <v>4.9650685446746147E-2</v>
      </c>
      <c r="F17" s="490">
        <f t="shared" si="2"/>
        <v>5.7879113865468977E-2</v>
      </c>
      <c r="G17" s="490">
        <f t="shared" si="2"/>
        <v>7.8013526475192538E-2</v>
      </c>
      <c r="H17" s="491">
        <f>H16/H11</f>
        <v>5.8257748860627193E-2</v>
      </c>
    </row>
    <row r="18" spans="2:26" x14ac:dyDescent="0.65">
      <c r="B18" s="492" t="s">
        <v>60</v>
      </c>
      <c r="C18" s="493">
        <v>12782657</v>
      </c>
      <c r="D18" s="493">
        <v>15313276</v>
      </c>
      <c r="E18" s="493">
        <v>43371923</v>
      </c>
      <c r="F18" s="493">
        <v>32546885</v>
      </c>
      <c r="G18" s="493">
        <v>157559223</v>
      </c>
      <c r="H18" s="494">
        <v>164591737</v>
      </c>
    </row>
    <row r="19" spans="2:26" ht="20.45" thickBot="1" x14ac:dyDescent="0.7">
      <c r="B19" s="461" t="s">
        <v>61</v>
      </c>
      <c r="C19" s="495">
        <v>-2489726</v>
      </c>
      <c r="D19" s="495">
        <v>-2998753</v>
      </c>
      <c r="E19" s="495">
        <v>-8284094</v>
      </c>
      <c r="F19" s="495">
        <v>-6166609</v>
      </c>
      <c r="G19" s="495">
        <v>-23487472</v>
      </c>
      <c r="H19" s="496">
        <v>-31074788</v>
      </c>
      <c r="S19" s="497" t="s">
        <v>114</v>
      </c>
      <c r="T19" s="498">
        <v>96</v>
      </c>
      <c r="U19" s="498">
        <v>97</v>
      </c>
      <c r="V19" s="498">
        <v>98</v>
      </c>
      <c r="W19" s="498">
        <v>99</v>
      </c>
      <c r="X19" s="499" t="s">
        <v>656</v>
      </c>
    </row>
    <row r="20" spans="2:26" ht="22.05" thickBot="1" x14ac:dyDescent="0.7">
      <c r="B20" s="500" t="s">
        <v>68</v>
      </c>
      <c r="C20" s="501">
        <f>-C19/C18</f>
        <v>0.1947737469604324</v>
      </c>
      <c r="D20" s="501">
        <f t="shared" ref="D20:G20" si="3">-D19/D18</f>
        <v>0.1958270065791278</v>
      </c>
      <c r="E20" s="501">
        <f t="shared" si="3"/>
        <v>0.19100130745874469</v>
      </c>
      <c r="F20" s="501">
        <f t="shared" si="3"/>
        <v>0.18946848523291859</v>
      </c>
      <c r="G20" s="501">
        <f t="shared" si="3"/>
        <v>0.14907075290667052</v>
      </c>
      <c r="H20" s="502">
        <f t="shared" ref="H20" si="4">-H19/H18</f>
        <v>0.18879919834614783</v>
      </c>
      <c r="I20" s="503"/>
      <c r="S20" s="466" t="s">
        <v>80</v>
      </c>
      <c r="T20" s="465">
        <v>39588</v>
      </c>
      <c r="U20" s="465">
        <v>63544</v>
      </c>
      <c r="V20" s="465">
        <v>262196</v>
      </c>
      <c r="W20" s="465">
        <v>108395</v>
      </c>
      <c r="X20" s="465">
        <v>117194</v>
      </c>
    </row>
    <row r="21" spans="2:26" x14ac:dyDescent="0.65">
      <c r="B21" s="468" t="s">
        <v>62</v>
      </c>
      <c r="C21" s="469">
        <v>10292931</v>
      </c>
      <c r="D21" s="469">
        <v>12314523</v>
      </c>
      <c r="E21" s="469">
        <v>35087829</v>
      </c>
      <c r="F21" s="469">
        <v>26380276</v>
      </c>
      <c r="G21" s="469">
        <v>134071751</v>
      </c>
      <c r="H21" s="470">
        <v>133516949</v>
      </c>
      <c r="S21" s="464" t="s">
        <v>81</v>
      </c>
      <c r="T21" s="465">
        <v>219585</v>
      </c>
      <c r="U21" s="465">
        <v>116302</v>
      </c>
      <c r="V21" s="465">
        <v>31799</v>
      </c>
      <c r="W21" s="465">
        <v>442650</v>
      </c>
      <c r="X21" s="465">
        <v>355717</v>
      </c>
    </row>
    <row r="22" spans="2:26" x14ac:dyDescent="0.65">
      <c r="B22" s="461" t="s">
        <v>63</v>
      </c>
      <c r="C22" s="495">
        <v>0</v>
      </c>
      <c r="D22" s="495">
        <v>0</v>
      </c>
      <c r="E22" s="495">
        <v>0</v>
      </c>
      <c r="F22" s="495">
        <v>0</v>
      </c>
      <c r="G22" s="495">
        <v>0</v>
      </c>
      <c r="H22" s="496">
        <v>0</v>
      </c>
      <c r="S22" s="466" t="s">
        <v>82</v>
      </c>
      <c r="T22" s="465">
        <v>260074</v>
      </c>
      <c r="U22" s="465">
        <v>893378</v>
      </c>
      <c r="V22" s="465">
        <v>135676</v>
      </c>
      <c r="W22" s="465">
        <v>50430</v>
      </c>
      <c r="X22" s="465">
        <v>8764782</v>
      </c>
    </row>
    <row r="23" spans="2:26" x14ac:dyDescent="0.65">
      <c r="B23" s="492" t="s">
        <v>64</v>
      </c>
      <c r="C23" s="493">
        <v>10292931</v>
      </c>
      <c r="D23" s="493">
        <v>12314523</v>
      </c>
      <c r="E23" s="493">
        <v>35087829</v>
      </c>
      <c r="F23" s="493">
        <v>26380276</v>
      </c>
      <c r="G23" s="493">
        <v>134071751</v>
      </c>
      <c r="H23" s="494">
        <v>133516949</v>
      </c>
      <c r="S23" s="471" t="s">
        <v>110</v>
      </c>
      <c r="T23" s="504">
        <f>T20+T21+T22</f>
        <v>519247</v>
      </c>
      <c r="U23" s="504">
        <f t="shared" ref="U23:W23" si="5">U20+U21+U22</f>
        <v>1073224</v>
      </c>
      <c r="V23" s="504">
        <f t="shared" si="5"/>
        <v>429671</v>
      </c>
      <c r="W23" s="504">
        <f t="shared" si="5"/>
        <v>601475</v>
      </c>
      <c r="X23" s="504">
        <f t="shared" ref="X23" si="6">X20+X21+X22</f>
        <v>9237693</v>
      </c>
    </row>
    <row r="24" spans="2:26" x14ac:dyDescent="0.65">
      <c r="B24" s="461" t="s">
        <v>65</v>
      </c>
      <c r="C24" s="495">
        <v>746</v>
      </c>
      <c r="D24" s="495">
        <v>892</v>
      </c>
      <c r="E24" s="495">
        <v>1223</v>
      </c>
      <c r="F24" s="495">
        <v>920</v>
      </c>
      <c r="G24" s="495">
        <v>998</v>
      </c>
      <c r="H24" s="496">
        <v>994</v>
      </c>
      <c r="V24" s="449" t="s">
        <v>672</v>
      </c>
      <c r="W24" s="449">
        <f>W23/V23-1</f>
        <v>0.3998501178808902</v>
      </c>
    </row>
    <row r="25" spans="2:26" x14ac:dyDescent="0.65">
      <c r="B25" s="468" t="s">
        <v>66</v>
      </c>
      <c r="C25" s="469">
        <v>13800000</v>
      </c>
      <c r="D25" s="469">
        <v>13800000</v>
      </c>
      <c r="E25" s="469">
        <v>28688000</v>
      </c>
      <c r="F25" s="469">
        <v>28688000</v>
      </c>
      <c r="G25" s="469">
        <v>134341922</v>
      </c>
      <c r="H25" s="470">
        <v>134341922</v>
      </c>
    </row>
    <row r="26" spans="2:26" ht="20.45" thickBot="1" x14ac:dyDescent="0.7">
      <c r="B26" s="505" t="s">
        <v>67</v>
      </c>
      <c r="C26" s="506">
        <v>77</v>
      </c>
      <c r="D26" s="506">
        <v>92</v>
      </c>
      <c r="E26" s="506">
        <v>261</v>
      </c>
      <c r="F26" s="506">
        <v>196</v>
      </c>
      <c r="G26" s="506">
        <v>998</v>
      </c>
      <c r="H26" s="507" t="s">
        <v>657</v>
      </c>
    </row>
    <row r="28" spans="2:26" x14ac:dyDescent="0.65">
      <c r="Y28" s="508"/>
      <c r="Z28" s="509"/>
    </row>
    <row r="29" spans="2:26" x14ac:dyDescent="0.65">
      <c r="B29" s="510" t="s">
        <v>43</v>
      </c>
      <c r="C29" s="511"/>
      <c r="D29" s="511"/>
      <c r="E29" s="511"/>
      <c r="F29" s="511"/>
      <c r="G29" s="511"/>
      <c r="S29" s="512" t="s">
        <v>102</v>
      </c>
      <c r="T29" s="479">
        <v>97</v>
      </c>
      <c r="U29" s="479">
        <v>98</v>
      </c>
      <c r="V29" s="479">
        <v>99</v>
      </c>
      <c r="W29" s="499" t="s">
        <v>656</v>
      </c>
    </row>
    <row r="30" spans="2:26" x14ac:dyDescent="0.65">
      <c r="B30" s="510" t="s">
        <v>42</v>
      </c>
      <c r="C30" s="511"/>
      <c r="D30" s="511"/>
      <c r="E30" s="511"/>
      <c r="F30" s="511"/>
      <c r="G30" s="511"/>
      <c r="J30" s="34" t="s">
        <v>52</v>
      </c>
      <c r="K30" s="34">
        <v>95</v>
      </c>
      <c r="L30" s="34">
        <v>96</v>
      </c>
      <c r="M30" s="34">
        <v>97</v>
      </c>
      <c r="N30" s="34">
        <v>98</v>
      </c>
      <c r="O30" s="34">
        <v>99</v>
      </c>
      <c r="P30" s="460" t="s">
        <v>656</v>
      </c>
      <c r="S30" s="479" t="s">
        <v>103</v>
      </c>
      <c r="T30" s="513">
        <v>552389</v>
      </c>
      <c r="U30" s="513">
        <v>1043274</v>
      </c>
      <c r="V30" s="513">
        <v>709000</v>
      </c>
      <c r="W30" s="513">
        <v>7991933</v>
      </c>
    </row>
    <row r="31" spans="2:26" x14ac:dyDescent="0.65">
      <c r="B31" s="511"/>
      <c r="C31" s="511"/>
      <c r="D31" s="511"/>
      <c r="E31" s="511"/>
      <c r="F31" s="511"/>
      <c r="G31" s="511"/>
      <c r="J31" s="464" t="s">
        <v>3</v>
      </c>
      <c r="K31" s="514">
        <v>164211304</v>
      </c>
      <c r="L31" s="514">
        <v>222311389</v>
      </c>
      <c r="M31" s="514">
        <v>453226514</v>
      </c>
      <c r="N31" s="514">
        <v>720189020</v>
      </c>
      <c r="O31" s="514">
        <v>894983110</v>
      </c>
      <c r="P31" s="514">
        <f>H8</f>
        <v>1326380276</v>
      </c>
      <c r="S31" s="479" t="s">
        <v>104</v>
      </c>
      <c r="T31" s="513">
        <v>508020</v>
      </c>
      <c r="U31" s="513">
        <v>486013</v>
      </c>
      <c r="V31" s="513">
        <v>2816996</v>
      </c>
      <c r="W31" s="513">
        <v>0</v>
      </c>
    </row>
    <row r="32" spans="2:26" x14ac:dyDescent="0.65">
      <c r="B32" s="515" t="s">
        <v>41</v>
      </c>
      <c r="C32" s="515"/>
      <c r="D32" s="515"/>
      <c r="E32" s="515"/>
      <c r="F32" s="515"/>
      <c r="G32" s="515"/>
      <c r="J32" s="464" t="s">
        <v>71</v>
      </c>
      <c r="K32" s="514">
        <v>37083679</v>
      </c>
      <c r="L32" s="514">
        <v>51274262</v>
      </c>
      <c r="M32" s="514">
        <v>88340764</v>
      </c>
      <c r="N32" s="514">
        <v>150410087</v>
      </c>
      <c r="O32" s="514">
        <v>155195565</v>
      </c>
      <c r="P32" s="514">
        <f>H9</f>
        <v>247256587</v>
      </c>
      <c r="S32" s="479" t="s">
        <v>105</v>
      </c>
      <c r="T32" s="513">
        <v>0</v>
      </c>
      <c r="U32" s="513">
        <v>470596</v>
      </c>
      <c r="V32" s="513">
        <v>2271673</v>
      </c>
      <c r="W32" s="513">
        <v>0</v>
      </c>
    </row>
    <row r="33" spans="2:23" x14ac:dyDescent="0.65">
      <c r="B33" s="516" t="s">
        <v>72</v>
      </c>
      <c r="C33" s="515"/>
      <c r="D33" s="515"/>
      <c r="E33" s="515"/>
      <c r="F33" s="515"/>
      <c r="G33" s="515"/>
      <c r="J33" s="471" t="s">
        <v>77</v>
      </c>
      <c r="K33" s="517">
        <f>K32/K31</f>
        <v>0.22582902697124918</v>
      </c>
      <c r="L33" s="517">
        <f t="shared" ref="L33:O33" si="7">L32/L31</f>
        <v>0.23064163392906514</v>
      </c>
      <c r="M33" s="517">
        <f t="shared" si="7"/>
        <v>0.1949152604077351</v>
      </c>
      <c r="N33" s="517">
        <f t="shared" si="7"/>
        <v>0.2088480701913506</v>
      </c>
      <c r="O33" s="517">
        <f t="shared" si="7"/>
        <v>0.17340613835718083</v>
      </c>
      <c r="P33" s="517">
        <f t="shared" ref="P33" si="8">P32/P31</f>
        <v>0.18641455355899758</v>
      </c>
      <c r="S33" s="518" t="s">
        <v>106</v>
      </c>
      <c r="T33" s="519">
        <v>882271</v>
      </c>
      <c r="U33" s="519">
        <v>1503699</v>
      </c>
      <c r="V33" s="519">
        <v>2874289</v>
      </c>
      <c r="W33" s="519">
        <v>0</v>
      </c>
    </row>
    <row r="34" spans="2:23" x14ac:dyDescent="0.65">
      <c r="B34" s="520"/>
      <c r="C34" s="511"/>
      <c r="D34" s="511"/>
      <c r="E34" s="511"/>
      <c r="F34" s="511"/>
      <c r="G34" s="511"/>
      <c r="S34" s="479" t="s">
        <v>82</v>
      </c>
      <c r="T34" s="513">
        <f>T35-T33-T32-T31-T30</f>
        <v>264459</v>
      </c>
      <c r="U34" s="513">
        <f t="shared" ref="U34:V34" si="9">U35-U33-U32-U31-U30</f>
        <v>374660</v>
      </c>
      <c r="V34" s="513">
        <f t="shared" si="9"/>
        <v>285129</v>
      </c>
      <c r="W34" s="513">
        <f>W35-W33-W32-W31-W30</f>
        <v>5253187</v>
      </c>
    </row>
    <row r="35" spans="2:23" ht="20.45" thickBot="1" x14ac:dyDescent="0.7">
      <c r="B35" s="445" t="s">
        <v>72</v>
      </c>
      <c r="C35" s="521">
        <v>1396</v>
      </c>
      <c r="D35" s="521">
        <v>1397</v>
      </c>
      <c r="E35" s="521">
        <v>1398</v>
      </c>
      <c r="F35" s="521">
        <v>1399</v>
      </c>
      <c r="G35" s="522" t="s">
        <v>656</v>
      </c>
      <c r="S35" s="518" t="s">
        <v>107</v>
      </c>
      <c r="T35" s="513">
        <v>2207139</v>
      </c>
      <c r="U35" s="513">
        <v>3878242</v>
      </c>
      <c r="V35" s="513">
        <v>8957087</v>
      </c>
      <c r="W35" s="513">
        <f>H94+H86</f>
        <v>13245120</v>
      </c>
    </row>
    <row r="36" spans="2:23" x14ac:dyDescent="0.65">
      <c r="B36" s="520"/>
      <c r="C36" s="511"/>
      <c r="D36" s="511"/>
      <c r="E36" s="511"/>
      <c r="F36" s="511"/>
      <c r="G36" s="511"/>
    </row>
    <row r="37" spans="2:23" x14ac:dyDescent="0.65">
      <c r="B37" s="495" t="s">
        <v>35</v>
      </c>
      <c r="C37" s="523">
        <v>0</v>
      </c>
      <c r="D37" s="523">
        <v>0</v>
      </c>
      <c r="E37" s="523">
        <v>0</v>
      </c>
      <c r="F37" s="523">
        <v>0</v>
      </c>
      <c r="G37" s="523">
        <v>0</v>
      </c>
      <c r="S37" s="512" t="s">
        <v>108</v>
      </c>
      <c r="T37" s="479">
        <v>97</v>
      </c>
      <c r="U37" s="479">
        <v>98</v>
      </c>
      <c r="V37" s="479">
        <v>99</v>
      </c>
      <c r="W37" s="499" t="s">
        <v>656</v>
      </c>
    </row>
    <row r="38" spans="2:23" x14ac:dyDescent="0.65">
      <c r="B38" s="469" t="s">
        <v>34</v>
      </c>
      <c r="C38" s="524">
        <v>0</v>
      </c>
      <c r="D38" s="524">
        <v>0</v>
      </c>
      <c r="E38" s="524">
        <v>0</v>
      </c>
      <c r="F38" s="524">
        <v>0</v>
      </c>
      <c r="G38" s="524">
        <v>0</v>
      </c>
      <c r="J38" s="525" t="s">
        <v>673</v>
      </c>
      <c r="K38" s="526">
        <f>AVERAGE(C15:G15)</f>
        <v>-222156.79999999999</v>
      </c>
      <c r="S38" s="479" t="s">
        <v>103</v>
      </c>
      <c r="T38" s="513">
        <v>552389</v>
      </c>
      <c r="U38" s="513">
        <v>1043274</v>
      </c>
      <c r="V38" s="513">
        <v>709000</v>
      </c>
      <c r="W38" s="513">
        <f>W30</f>
        <v>7991933</v>
      </c>
    </row>
    <row r="39" spans="2:23" x14ac:dyDescent="0.65">
      <c r="B39" s="495" t="s">
        <v>33</v>
      </c>
      <c r="C39" s="523">
        <v>0</v>
      </c>
      <c r="D39" s="523">
        <v>0</v>
      </c>
      <c r="E39" s="523">
        <v>0</v>
      </c>
      <c r="F39" s="523">
        <v>0</v>
      </c>
      <c r="G39" s="523">
        <v>0</v>
      </c>
      <c r="S39" s="479" t="s">
        <v>104</v>
      </c>
      <c r="T39" s="513">
        <v>508020</v>
      </c>
      <c r="U39" s="513">
        <v>486013</v>
      </c>
      <c r="V39" s="513">
        <f>AVERAGE(T39:U39)</f>
        <v>497016.5</v>
      </c>
      <c r="W39" s="513">
        <v>0</v>
      </c>
    </row>
    <row r="40" spans="2:23" x14ac:dyDescent="0.65">
      <c r="B40" s="469" t="s">
        <v>32</v>
      </c>
      <c r="C40" s="524">
        <v>0</v>
      </c>
      <c r="D40" s="524">
        <v>0</v>
      </c>
      <c r="E40" s="524">
        <v>0</v>
      </c>
      <c r="F40" s="524">
        <v>0</v>
      </c>
      <c r="G40" s="524">
        <v>0</v>
      </c>
      <c r="S40" s="479" t="s">
        <v>105</v>
      </c>
      <c r="T40" s="513">
        <v>0</v>
      </c>
      <c r="U40" s="513">
        <v>470596</v>
      </c>
      <c r="V40" s="513">
        <f>U40</f>
        <v>470596</v>
      </c>
      <c r="W40" s="513">
        <v>0</v>
      </c>
    </row>
    <row r="41" spans="2:23" x14ac:dyDescent="0.65">
      <c r="B41" s="495" t="s">
        <v>31</v>
      </c>
      <c r="C41" s="527">
        <v>32273</v>
      </c>
      <c r="D41" s="527">
        <v>48808</v>
      </c>
      <c r="E41" s="527">
        <v>70433</v>
      </c>
      <c r="F41" s="527">
        <v>121591</v>
      </c>
      <c r="G41" s="527">
        <v>130942</v>
      </c>
      <c r="S41" s="518" t="s">
        <v>106</v>
      </c>
      <c r="T41" s="519">
        <v>882271</v>
      </c>
      <c r="U41" s="519">
        <v>1503699</v>
      </c>
      <c r="V41" s="519">
        <v>2874289</v>
      </c>
      <c r="W41" s="519">
        <v>0</v>
      </c>
    </row>
    <row r="42" spans="2:23" x14ac:dyDescent="0.65">
      <c r="B42" s="469" t="s">
        <v>30</v>
      </c>
      <c r="C42" s="528">
        <v>0</v>
      </c>
      <c r="D42" s="528">
        <v>0</v>
      </c>
      <c r="E42" s="528">
        <v>0</v>
      </c>
      <c r="F42" s="528">
        <v>0</v>
      </c>
      <c r="G42" s="528">
        <v>0</v>
      </c>
      <c r="S42" s="479" t="s">
        <v>82</v>
      </c>
      <c r="T42" s="513">
        <f>T43-T41-T40-T39-T38</f>
        <v>264459</v>
      </c>
      <c r="U42" s="513">
        <f t="shared" ref="U42" si="10">U43-U41-U40-U39-U38</f>
        <v>374660</v>
      </c>
      <c r="V42" s="513">
        <f>V34</f>
        <v>285129</v>
      </c>
      <c r="W42" s="513">
        <f>W34</f>
        <v>5253187</v>
      </c>
    </row>
    <row r="43" spans="2:23" x14ac:dyDescent="0.65">
      <c r="B43" s="495" t="s">
        <v>29</v>
      </c>
      <c r="C43" s="527">
        <v>41928</v>
      </c>
      <c r="D43" s="527">
        <v>43759</v>
      </c>
      <c r="E43" s="527">
        <v>104324</v>
      </c>
      <c r="F43" s="527">
        <v>140156</v>
      </c>
      <c r="G43" s="527">
        <v>244360</v>
      </c>
      <c r="S43" s="518" t="s">
        <v>107</v>
      </c>
      <c r="T43" s="513">
        <v>2207139</v>
      </c>
      <c r="U43" s="513">
        <v>3878242</v>
      </c>
      <c r="V43" s="513">
        <f>SUM(V38:V42)</f>
        <v>4836030.5</v>
      </c>
      <c r="W43" s="513">
        <f>SUM(W38:W42)</f>
        <v>13245120</v>
      </c>
    </row>
    <row r="44" spans="2:23" x14ac:dyDescent="0.65">
      <c r="B44" s="469" t="s">
        <v>28</v>
      </c>
      <c r="C44" s="529">
        <v>478701</v>
      </c>
      <c r="D44" s="529">
        <v>619437</v>
      </c>
      <c r="E44" s="529">
        <v>853732</v>
      </c>
      <c r="F44" s="529">
        <v>1786137</v>
      </c>
      <c r="G44" s="529">
        <v>2548774</v>
      </c>
      <c r="S44" s="518" t="s">
        <v>109</v>
      </c>
      <c r="T44" s="513">
        <v>44453344</v>
      </c>
      <c r="U44" s="513">
        <v>67005898</v>
      </c>
      <c r="V44" s="513">
        <v>114814538</v>
      </c>
      <c r="W44" s="476">
        <v>153749281</v>
      </c>
    </row>
    <row r="45" spans="2:23" ht="21.5" x14ac:dyDescent="0.75">
      <c r="B45" s="495" t="s">
        <v>27</v>
      </c>
      <c r="C45" s="530">
        <v>0</v>
      </c>
      <c r="D45" s="530">
        <v>0</v>
      </c>
      <c r="E45" s="530">
        <v>0</v>
      </c>
      <c r="F45" s="530">
        <v>0</v>
      </c>
      <c r="G45" s="530">
        <v>0</v>
      </c>
      <c r="S45" s="518" t="s">
        <v>659</v>
      </c>
      <c r="T45" s="531">
        <f>T43/T44</f>
        <v>4.9650685446746147E-2</v>
      </c>
      <c r="U45" s="531">
        <f t="shared" ref="U45:V45" si="11">U43/U44</f>
        <v>5.7879113865468977E-2</v>
      </c>
      <c r="V45" s="531">
        <f t="shared" si="11"/>
        <v>4.2120367196007875E-2</v>
      </c>
      <c r="W45" s="531">
        <f t="shared" ref="W45" si="12">W43/W44</f>
        <v>8.6147524813465631E-2</v>
      </c>
    </row>
    <row r="46" spans="2:23" x14ac:dyDescent="0.65">
      <c r="B46" s="469" t="s">
        <v>26</v>
      </c>
      <c r="C46" s="529">
        <v>4988421</v>
      </c>
      <c r="D46" s="529">
        <v>3450041</v>
      </c>
      <c r="E46" s="529">
        <v>4602450</v>
      </c>
      <c r="F46" s="529">
        <v>8808104</v>
      </c>
      <c r="G46" s="529">
        <v>7402714</v>
      </c>
      <c r="T46" s="508"/>
      <c r="U46" s="508"/>
      <c r="V46" s="508"/>
    </row>
    <row r="47" spans="2:23" x14ac:dyDescent="0.65">
      <c r="B47" s="482"/>
      <c r="C47" s="532">
        <v>5541323</v>
      </c>
      <c r="D47" s="532">
        <v>4162045</v>
      </c>
      <c r="E47" s="532">
        <v>5630939</v>
      </c>
      <c r="F47" s="532">
        <v>10855988</v>
      </c>
      <c r="G47" s="532">
        <v>10326790</v>
      </c>
      <c r="V47" s="503"/>
    </row>
    <row r="48" spans="2:23" x14ac:dyDescent="0.65">
      <c r="B48" s="520"/>
      <c r="C48" s="511"/>
      <c r="D48" s="511"/>
      <c r="E48" s="511"/>
      <c r="F48" s="511"/>
      <c r="G48" s="511"/>
    </row>
    <row r="49" spans="2:8" x14ac:dyDescent="0.65">
      <c r="B49" s="520"/>
      <c r="C49" s="511"/>
      <c r="D49" s="511"/>
      <c r="E49" s="511"/>
      <c r="F49" s="511"/>
      <c r="G49" s="511"/>
    </row>
    <row r="50" spans="2:8" x14ac:dyDescent="0.65">
      <c r="B50" s="520"/>
      <c r="C50" s="511"/>
      <c r="D50" s="511"/>
      <c r="E50" s="511"/>
      <c r="F50" s="511"/>
      <c r="G50" s="511"/>
    </row>
    <row r="51" spans="2:8" ht="40.299999999999997" thickBot="1" x14ac:dyDescent="0.7">
      <c r="B51" s="445" t="s">
        <v>74</v>
      </c>
      <c r="C51" s="533" t="s">
        <v>73</v>
      </c>
      <c r="D51" s="533" t="s">
        <v>20</v>
      </c>
      <c r="E51" s="533" t="s">
        <v>21</v>
      </c>
      <c r="F51" s="533" t="s">
        <v>22</v>
      </c>
      <c r="G51" s="534" t="s">
        <v>658</v>
      </c>
    </row>
    <row r="52" spans="2:8" x14ac:dyDescent="0.65">
      <c r="B52" s="520"/>
      <c r="C52" s="511"/>
      <c r="D52" s="511"/>
      <c r="E52" s="511"/>
      <c r="F52" s="511"/>
      <c r="G52" s="511"/>
    </row>
    <row r="53" spans="2:8" x14ac:dyDescent="0.65">
      <c r="B53" s="495" t="s">
        <v>75</v>
      </c>
      <c r="C53" s="523">
        <v>353</v>
      </c>
      <c r="D53" s="523">
        <v>335</v>
      </c>
      <c r="E53" s="523">
        <v>426</v>
      </c>
      <c r="F53" s="523">
        <v>1561</v>
      </c>
      <c r="G53" s="523">
        <v>1595</v>
      </c>
    </row>
    <row r="54" spans="2:8" x14ac:dyDescent="0.65">
      <c r="B54" s="469" t="s">
        <v>76</v>
      </c>
      <c r="C54" s="524">
        <v>1030</v>
      </c>
      <c r="D54" s="524">
        <v>994</v>
      </c>
      <c r="E54" s="524">
        <v>1198</v>
      </c>
      <c r="F54" s="524">
        <v>2120</v>
      </c>
      <c r="G54" s="524">
        <v>2086</v>
      </c>
    </row>
    <row r="59" spans="2:8" x14ac:dyDescent="0.65">
      <c r="B59" s="510" t="s">
        <v>43</v>
      </c>
      <c r="C59" s="511"/>
      <c r="D59" s="511"/>
      <c r="E59" s="511"/>
      <c r="F59" s="511"/>
      <c r="G59" s="511"/>
      <c r="H59" s="511"/>
    </row>
    <row r="60" spans="2:8" x14ac:dyDescent="0.65">
      <c r="B60" s="510" t="s">
        <v>42</v>
      </c>
      <c r="C60" s="511"/>
      <c r="D60" s="511"/>
      <c r="E60" s="511"/>
      <c r="F60" s="511"/>
      <c r="G60" s="511"/>
      <c r="H60" s="511"/>
    </row>
    <row r="61" spans="2:8" x14ac:dyDescent="0.65">
      <c r="B61" s="511"/>
      <c r="C61" s="511"/>
      <c r="D61" s="511"/>
      <c r="E61" s="511"/>
      <c r="F61" s="511"/>
      <c r="G61" s="511"/>
      <c r="H61" s="511"/>
    </row>
    <row r="62" spans="2:8" x14ac:dyDescent="0.65">
      <c r="B62" s="515" t="s">
        <v>41</v>
      </c>
      <c r="C62" s="515"/>
      <c r="D62" s="515"/>
      <c r="E62" s="515"/>
      <c r="F62" s="515"/>
      <c r="G62" s="515"/>
      <c r="H62" s="515"/>
    </row>
    <row r="63" spans="2:8" x14ac:dyDescent="0.65">
      <c r="B63" s="516" t="s">
        <v>83</v>
      </c>
      <c r="C63" s="515"/>
      <c r="D63" s="515"/>
      <c r="E63" s="515"/>
      <c r="F63" s="515"/>
      <c r="G63" s="515"/>
      <c r="H63" s="515"/>
    </row>
    <row r="64" spans="2:8" x14ac:dyDescent="0.65">
      <c r="B64" s="511"/>
      <c r="C64" s="511"/>
      <c r="D64" s="511"/>
      <c r="E64" s="511"/>
      <c r="F64" s="511"/>
      <c r="G64" s="511"/>
      <c r="H64" s="511"/>
    </row>
    <row r="65" spans="2:8" ht="20.45" thickBot="1" x14ac:dyDescent="0.7">
      <c r="B65" s="446" t="s">
        <v>84</v>
      </c>
      <c r="C65" s="533">
        <v>95</v>
      </c>
      <c r="D65" s="533">
        <v>96</v>
      </c>
      <c r="E65" s="533">
        <v>97</v>
      </c>
      <c r="F65" s="533">
        <v>98</v>
      </c>
      <c r="G65" s="533">
        <v>99</v>
      </c>
      <c r="H65" s="534" t="s">
        <v>656</v>
      </c>
    </row>
    <row r="66" spans="2:8" x14ac:dyDescent="0.65">
      <c r="B66" s="511"/>
      <c r="C66" s="511"/>
      <c r="D66" s="511"/>
      <c r="E66" s="511"/>
      <c r="F66" s="511"/>
      <c r="G66" s="511"/>
      <c r="H66" s="511"/>
    </row>
    <row r="67" spans="2:8" x14ac:dyDescent="0.65">
      <c r="B67" s="535" t="s">
        <v>85</v>
      </c>
      <c r="C67" s="536" t="s">
        <v>23</v>
      </c>
      <c r="D67" s="536" t="s">
        <v>23</v>
      </c>
      <c r="E67" s="536" t="s">
        <v>23</v>
      </c>
      <c r="F67" s="536">
        <v>0</v>
      </c>
      <c r="G67" s="537">
        <v>8117314</v>
      </c>
      <c r="H67" s="536">
        <v>0</v>
      </c>
    </row>
    <row r="68" spans="2:8" x14ac:dyDescent="0.65">
      <c r="B68" s="538" t="s">
        <v>86</v>
      </c>
      <c r="C68" s="539" t="s">
        <v>23</v>
      </c>
      <c r="D68" s="539" t="s">
        <v>23</v>
      </c>
      <c r="E68" s="539" t="s">
        <v>23</v>
      </c>
      <c r="F68" s="539">
        <v>0</v>
      </c>
      <c r="G68" s="540">
        <v>1916450</v>
      </c>
      <c r="H68" s="539">
        <v>0</v>
      </c>
    </row>
    <row r="69" spans="2:8" x14ac:dyDescent="0.65">
      <c r="B69" s="535" t="s">
        <v>87</v>
      </c>
      <c r="C69" s="536" t="s">
        <v>23</v>
      </c>
      <c r="D69" s="536" t="s">
        <v>23</v>
      </c>
      <c r="E69" s="536" t="s">
        <v>23</v>
      </c>
      <c r="F69" s="537">
        <v>12991145</v>
      </c>
      <c r="G69" s="537">
        <v>10165545</v>
      </c>
      <c r="H69" s="536">
        <v>0</v>
      </c>
    </row>
    <row r="70" spans="2:8" x14ac:dyDescent="0.65">
      <c r="B70" s="541" t="s">
        <v>88</v>
      </c>
      <c r="C70" s="542" t="s">
        <v>23</v>
      </c>
      <c r="D70" s="542" t="s">
        <v>23</v>
      </c>
      <c r="E70" s="542" t="s">
        <v>23</v>
      </c>
      <c r="F70" s="542">
        <v>0</v>
      </c>
      <c r="G70" s="543">
        <v>37560139</v>
      </c>
      <c r="H70" s="542">
        <v>0</v>
      </c>
    </row>
    <row r="71" spans="2:8" x14ac:dyDescent="0.65">
      <c r="B71" s="535" t="s">
        <v>89</v>
      </c>
      <c r="C71" s="536" t="s">
        <v>23</v>
      </c>
      <c r="D71" s="536" t="s">
        <v>23</v>
      </c>
      <c r="E71" s="536">
        <v>0</v>
      </c>
      <c r="F71" s="536" t="s">
        <v>23</v>
      </c>
      <c r="G71" s="536" t="s">
        <v>23</v>
      </c>
      <c r="H71" s="536" t="s">
        <v>23</v>
      </c>
    </row>
    <row r="72" spans="2:8" x14ac:dyDescent="0.65">
      <c r="B72" s="538" t="s">
        <v>80</v>
      </c>
      <c r="C72" s="539" t="s">
        <v>23</v>
      </c>
      <c r="D72" s="540">
        <v>39588</v>
      </c>
      <c r="E72" s="540">
        <v>63544</v>
      </c>
      <c r="F72" s="540">
        <v>262196</v>
      </c>
      <c r="G72" s="540">
        <v>108395</v>
      </c>
      <c r="H72" s="540">
        <v>117194</v>
      </c>
    </row>
    <row r="73" spans="2:8" x14ac:dyDescent="0.65">
      <c r="B73" s="535" t="s">
        <v>81</v>
      </c>
      <c r="C73" s="536" t="s">
        <v>23</v>
      </c>
      <c r="D73" s="537">
        <v>219585</v>
      </c>
      <c r="E73" s="537">
        <v>116302</v>
      </c>
      <c r="F73" s="537">
        <v>31799</v>
      </c>
      <c r="G73" s="537">
        <v>442650</v>
      </c>
      <c r="H73" s="537">
        <v>355717</v>
      </c>
    </row>
    <row r="74" spans="2:8" x14ac:dyDescent="0.65">
      <c r="B74" s="538" t="s">
        <v>82</v>
      </c>
      <c r="C74" s="539" t="s">
        <v>23</v>
      </c>
      <c r="D74" s="540">
        <v>260074</v>
      </c>
      <c r="E74" s="540">
        <v>893378</v>
      </c>
      <c r="F74" s="540">
        <v>135676</v>
      </c>
      <c r="G74" s="540">
        <v>50430</v>
      </c>
      <c r="H74" s="540">
        <v>8764782</v>
      </c>
    </row>
    <row r="75" spans="2:8" x14ac:dyDescent="0.65">
      <c r="B75" s="511"/>
      <c r="C75" s="511"/>
      <c r="D75" s="511"/>
      <c r="E75" s="511"/>
      <c r="F75" s="511"/>
      <c r="G75" s="511"/>
      <c r="H75" s="511"/>
    </row>
    <row r="76" spans="2:8" ht="20.45" thickBot="1" x14ac:dyDescent="0.7">
      <c r="B76" s="446" t="s">
        <v>90</v>
      </c>
      <c r="C76" s="533">
        <v>95</v>
      </c>
      <c r="D76" s="533">
        <v>96</v>
      </c>
      <c r="E76" s="533">
        <v>97</v>
      </c>
      <c r="F76" s="533">
        <v>98</v>
      </c>
      <c r="G76" s="533">
        <v>99</v>
      </c>
      <c r="H76" s="534" t="s">
        <v>656</v>
      </c>
    </row>
    <row r="77" spans="2:8" x14ac:dyDescent="0.65">
      <c r="B77" s="511"/>
      <c r="C77" s="511"/>
      <c r="D77" s="511"/>
      <c r="E77" s="511"/>
      <c r="F77" s="511"/>
      <c r="G77" s="511"/>
      <c r="H77" s="511"/>
    </row>
    <row r="78" spans="2:8" x14ac:dyDescent="0.65">
      <c r="B78" s="535" t="s">
        <v>91</v>
      </c>
      <c r="C78" s="523" t="s">
        <v>23</v>
      </c>
      <c r="D78" s="523" t="s">
        <v>23</v>
      </c>
      <c r="E78" s="523" t="s">
        <v>23</v>
      </c>
      <c r="F78" s="536">
        <v>8370984</v>
      </c>
      <c r="G78" s="536">
        <v>8785209</v>
      </c>
      <c r="H78" s="536">
        <v>0</v>
      </c>
    </row>
    <row r="79" spans="2:8" x14ac:dyDescent="0.65">
      <c r="B79" s="541" t="s">
        <v>92</v>
      </c>
      <c r="C79" s="544" t="s">
        <v>23</v>
      </c>
      <c r="D79" s="544" t="s">
        <v>23</v>
      </c>
      <c r="E79" s="544" t="s">
        <v>23</v>
      </c>
      <c r="F79" s="544">
        <v>0</v>
      </c>
      <c r="G79" s="542">
        <v>478426</v>
      </c>
      <c r="H79" s="542">
        <v>0</v>
      </c>
    </row>
    <row r="80" spans="2:8" ht="21.5" x14ac:dyDescent="0.65">
      <c r="B80" s="541" t="s">
        <v>93</v>
      </c>
      <c r="C80" s="544" t="s">
        <v>23</v>
      </c>
      <c r="D80" s="544" t="s">
        <v>23</v>
      </c>
      <c r="E80" s="544">
        <v>0</v>
      </c>
      <c r="F80" s="545">
        <v>37560139</v>
      </c>
      <c r="G80" s="544" t="s">
        <v>23</v>
      </c>
      <c r="H80" s="544" t="s">
        <v>23</v>
      </c>
    </row>
    <row r="81" spans="2:8" x14ac:dyDescent="0.65">
      <c r="B81" s="511"/>
      <c r="C81" s="511"/>
      <c r="D81" s="511"/>
      <c r="E81" s="511"/>
      <c r="F81" s="511"/>
      <c r="G81" s="511"/>
      <c r="H81" s="511"/>
    </row>
    <row r="82" spans="2:8" ht="20.45" thickBot="1" x14ac:dyDescent="0.7">
      <c r="B82" s="446" t="s">
        <v>94</v>
      </c>
      <c r="C82" s="533">
        <v>95</v>
      </c>
      <c r="D82" s="533">
        <v>96</v>
      </c>
      <c r="E82" s="533">
        <v>97</v>
      </c>
      <c r="F82" s="533">
        <v>98</v>
      </c>
      <c r="G82" s="533">
        <v>99</v>
      </c>
      <c r="H82" s="534" t="s">
        <v>656</v>
      </c>
    </row>
    <row r="83" spans="2:8" x14ac:dyDescent="0.65">
      <c r="B83" s="511"/>
      <c r="C83" s="511"/>
      <c r="D83" s="511"/>
      <c r="E83" s="511"/>
      <c r="F83" s="511"/>
      <c r="G83" s="511"/>
      <c r="H83" s="511"/>
    </row>
    <row r="84" spans="2:8" x14ac:dyDescent="0.65">
      <c r="B84" s="535" t="s">
        <v>95</v>
      </c>
      <c r="C84" s="523" t="s">
        <v>23</v>
      </c>
      <c r="D84" s="527">
        <v>18008</v>
      </c>
      <c r="E84" s="527">
        <v>516793</v>
      </c>
      <c r="F84" s="527">
        <v>670566</v>
      </c>
      <c r="G84" s="527">
        <v>2834011</v>
      </c>
      <c r="H84" s="527">
        <v>1225865</v>
      </c>
    </row>
    <row r="85" spans="2:8" x14ac:dyDescent="0.65">
      <c r="B85" s="538" t="s">
        <v>96</v>
      </c>
      <c r="C85" s="524" t="s">
        <v>23</v>
      </c>
      <c r="D85" s="529">
        <v>301505</v>
      </c>
      <c r="E85" s="529">
        <v>552389</v>
      </c>
      <c r="F85" s="529">
        <v>1043274</v>
      </c>
      <c r="G85" s="529">
        <v>709001</v>
      </c>
      <c r="H85" s="529">
        <v>7991933</v>
      </c>
    </row>
    <row r="86" spans="2:8" x14ac:dyDescent="0.65">
      <c r="B86" s="546"/>
      <c r="C86" s="547">
        <v>0</v>
      </c>
      <c r="D86" s="532">
        <v>319513</v>
      </c>
      <c r="E86" s="532">
        <v>1069182</v>
      </c>
      <c r="F86" s="532">
        <v>1713840</v>
      </c>
      <c r="G86" s="532">
        <v>3543012</v>
      </c>
      <c r="H86" s="532">
        <v>9217798</v>
      </c>
    </row>
    <row r="87" spans="2:8" x14ac:dyDescent="0.65">
      <c r="B87" s="535"/>
      <c r="C87" s="523"/>
      <c r="D87" s="523"/>
      <c r="E87" s="523"/>
      <c r="F87" s="523"/>
      <c r="G87" s="523"/>
      <c r="H87" s="523"/>
    </row>
    <row r="88" spans="2:8" ht="20.45" thickBot="1" x14ac:dyDescent="0.7">
      <c r="B88" s="447" t="s">
        <v>97</v>
      </c>
      <c r="C88" s="548">
        <v>95</v>
      </c>
      <c r="D88" s="548">
        <v>96</v>
      </c>
      <c r="E88" s="548">
        <v>97</v>
      </c>
      <c r="F88" s="548">
        <v>98</v>
      </c>
      <c r="G88" s="548">
        <v>99</v>
      </c>
      <c r="H88" s="534" t="s">
        <v>656</v>
      </c>
    </row>
    <row r="89" spans="2:8" x14ac:dyDescent="0.65">
      <c r="B89" s="511"/>
      <c r="C89" s="511"/>
      <c r="D89" s="511"/>
      <c r="E89" s="511"/>
      <c r="F89" s="511"/>
      <c r="G89" s="511"/>
      <c r="H89" s="511"/>
    </row>
    <row r="90" spans="2:8" x14ac:dyDescent="0.65">
      <c r="B90" s="535" t="s">
        <v>98</v>
      </c>
      <c r="C90" s="523" t="s">
        <v>23</v>
      </c>
      <c r="D90" s="527">
        <v>43104</v>
      </c>
      <c r="E90" s="527">
        <v>957829</v>
      </c>
      <c r="F90" s="527">
        <v>2039974</v>
      </c>
      <c r="G90" s="527">
        <v>5263236</v>
      </c>
      <c r="H90" s="527">
        <v>3911625</v>
      </c>
    </row>
    <row r="91" spans="2:8" x14ac:dyDescent="0.65">
      <c r="B91" s="538" t="s">
        <v>99</v>
      </c>
      <c r="C91" s="524" t="s">
        <v>23</v>
      </c>
      <c r="D91" s="529">
        <v>109554</v>
      </c>
      <c r="E91" s="529">
        <v>128677</v>
      </c>
      <c r="F91" s="529">
        <v>89533</v>
      </c>
      <c r="G91" s="529">
        <v>98877</v>
      </c>
      <c r="H91" s="529">
        <v>80985</v>
      </c>
    </row>
    <row r="92" spans="2:8" x14ac:dyDescent="0.65">
      <c r="B92" s="535" t="s">
        <v>100</v>
      </c>
      <c r="C92" s="523" t="s">
        <v>23</v>
      </c>
      <c r="D92" s="527">
        <v>40875</v>
      </c>
      <c r="E92" s="527">
        <v>34024</v>
      </c>
      <c r="F92" s="527">
        <v>13502</v>
      </c>
      <c r="G92" s="527">
        <v>25437</v>
      </c>
      <c r="H92" s="527">
        <v>12461</v>
      </c>
    </row>
    <row r="93" spans="2:8" x14ac:dyDescent="0.65">
      <c r="B93" s="538" t="s">
        <v>101</v>
      </c>
      <c r="C93" s="524" t="s">
        <v>23</v>
      </c>
      <c r="D93" s="529">
        <v>32383</v>
      </c>
      <c r="E93" s="529">
        <v>17427</v>
      </c>
      <c r="F93" s="529">
        <v>21393</v>
      </c>
      <c r="G93" s="529">
        <v>26525</v>
      </c>
      <c r="H93" s="529">
        <v>22251</v>
      </c>
    </row>
    <row r="94" spans="2:8" x14ac:dyDescent="0.65">
      <c r="B94" s="546"/>
      <c r="C94" s="547"/>
      <c r="D94" s="532">
        <v>225916</v>
      </c>
      <c r="E94" s="532">
        <v>1137957</v>
      </c>
      <c r="F94" s="532">
        <v>2164402</v>
      </c>
      <c r="G94" s="532">
        <v>5414075</v>
      </c>
      <c r="H94" s="532">
        <f>SUM(H90:H93)</f>
        <v>4027322</v>
      </c>
    </row>
    <row r="98" spans="7:7" x14ac:dyDescent="0.65">
      <c r="G98" s="526">
        <f>G94+G86</f>
        <v>8957087</v>
      </c>
    </row>
  </sheetData>
  <pageMargins left="0.7" right="0.7" top="0.75" bottom="0.75" header="0.3" footer="0.3"/>
  <pageSetup orientation="portrait" r:id="rId1"/>
  <ignoredErrors>
    <ignoredError sqref="K3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zoomScale="70" zoomScaleNormal="70" workbookViewId="0">
      <selection activeCell="D5" sqref="D5"/>
    </sheetView>
  </sheetViews>
  <sheetFormatPr defaultColWidth="8.81640625" defaultRowHeight="14" x14ac:dyDescent="0.3"/>
  <cols>
    <col min="1" max="1" width="15.453125" style="1" customWidth="1"/>
    <col min="2" max="2" width="13.6328125" style="1" customWidth="1"/>
    <col min="3" max="3" width="10.08984375" style="1" bestFit="1" customWidth="1"/>
    <col min="4" max="4" width="11.54296875" style="1" customWidth="1"/>
    <col min="5" max="5" width="10.08984375" style="1" bestFit="1" customWidth="1"/>
    <col min="6" max="6" width="13.08984375" style="1" customWidth="1"/>
    <col min="7" max="7" width="13.6328125" style="1" customWidth="1"/>
    <col min="8" max="8" width="21.6328125" style="1" bestFit="1" customWidth="1"/>
    <col min="9" max="9" width="16.81640625" style="1" bestFit="1" customWidth="1"/>
    <col min="10" max="10" width="28.81640625" style="1" bestFit="1" customWidth="1"/>
    <col min="11" max="16384" width="8.81640625" style="1"/>
  </cols>
  <sheetData>
    <row r="1" spans="1:4" ht="15.6" x14ac:dyDescent="0.35">
      <c r="A1" s="3" t="s">
        <v>43</v>
      </c>
      <c r="B1" s="9"/>
      <c r="C1" s="9"/>
    </row>
    <row r="2" spans="1:4" x14ac:dyDescent="0.3">
      <c r="A2" s="2" t="s">
        <v>42</v>
      </c>
      <c r="B2" s="9"/>
      <c r="C2" s="9"/>
    </row>
    <row r="3" spans="1:4" ht="20.95" x14ac:dyDescent="0.3">
      <c r="A3" s="8" t="s">
        <v>606</v>
      </c>
      <c r="B3" s="7"/>
      <c r="C3" s="7"/>
    </row>
    <row r="4" spans="1:4" ht="16.149999999999999" thickBot="1" x14ac:dyDescent="0.35">
      <c r="A4" s="6" t="s">
        <v>46</v>
      </c>
      <c r="B4" s="6" t="s">
        <v>45</v>
      </c>
      <c r="C4" s="6" t="s">
        <v>44</v>
      </c>
      <c r="D4" s="6" t="s">
        <v>605</v>
      </c>
    </row>
    <row r="5" spans="1:4" x14ac:dyDescent="0.3">
      <c r="A5" s="5" t="s">
        <v>604</v>
      </c>
      <c r="B5" s="5" t="s">
        <v>603</v>
      </c>
      <c r="C5" s="84">
        <v>226199</v>
      </c>
      <c r="D5" s="86">
        <f>AVERAGE(C5:C221)</f>
        <v>226259.63594470045</v>
      </c>
    </row>
    <row r="6" spans="1:4" x14ac:dyDescent="0.3">
      <c r="A6" s="4" t="s">
        <v>602</v>
      </c>
      <c r="B6" s="4" t="s">
        <v>601</v>
      </c>
      <c r="C6" s="85">
        <v>226199</v>
      </c>
    </row>
    <row r="7" spans="1:4" x14ac:dyDescent="0.3">
      <c r="A7" s="5" t="s">
        <v>599</v>
      </c>
      <c r="B7" s="5" t="s">
        <v>598</v>
      </c>
      <c r="C7" s="84">
        <v>226234</v>
      </c>
    </row>
    <row r="8" spans="1:4" x14ac:dyDescent="0.3">
      <c r="A8" s="4" t="s">
        <v>597</v>
      </c>
      <c r="B8" s="4" t="s">
        <v>596</v>
      </c>
      <c r="C8" s="85">
        <v>229081</v>
      </c>
    </row>
    <row r="9" spans="1:4" x14ac:dyDescent="0.3">
      <c r="A9" s="5" t="s">
        <v>595</v>
      </c>
      <c r="B9" s="5" t="s">
        <v>594</v>
      </c>
      <c r="C9" s="84">
        <v>229081</v>
      </c>
    </row>
    <row r="10" spans="1:4" x14ac:dyDescent="0.3">
      <c r="A10" s="4" t="s">
        <v>593</v>
      </c>
      <c r="B10" s="4" t="s">
        <v>592</v>
      </c>
      <c r="C10" s="85">
        <v>229023</v>
      </c>
    </row>
    <row r="11" spans="1:4" x14ac:dyDescent="0.3">
      <c r="A11" s="5" t="s">
        <v>591</v>
      </c>
      <c r="B11" s="5" t="s">
        <v>590</v>
      </c>
      <c r="C11" s="84">
        <v>227399</v>
      </c>
    </row>
    <row r="12" spans="1:4" x14ac:dyDescent="0.3">
      <c r="A12" s="4" t="s">
        <v>589</v>
      </c>
      <c r="B12" s="4" t="s">
        <v>588</v>
      </c>
      <c r="C12" s="85">
        <v>227315</v>
      </c>
    </row>
    <row r="13" spans="1:4" x14ac:dyDescent="0.3">
      <c r="A13" s="5" t="s">
        <v>587</v>
      </c>
      <c r="B13" s="5" t="s">
        <v>586</v>
      </c>
      <c r="C13" s="84">
        <v>227754</v>
      </c>
    </row>
    <row r="14" spans="1:4" x14ac:dyDescent="0.3">
      <c r="A14" s="4" t="s">
        <v>585</v>
      </c>
      <c r="B14" s="4" t="s">
        <v>584</v>
      </c>
      <c r="C14" s="85">
        <v>227276</v>
      </c>
    </row>
    <row r="15" spans="1:4" x14ac:dyDescent="0.3">
      <c r="A15" s="5" t="s">
        <v>583</v>
      </c>
      <c r="B15" s="5" t="s">
        <v>582</v>
      </c>
      <c r="C15" s="84">
        <v>229340</v>
      </c>
    </row>
    <row r="16" spans="1:4" x14ac:dyDescent="0.3">
      <c r="A16" s="4" t="s">
        <v>581</v>
      </c>
      <c r="B16" s="4" t="s">
        <v>580</v>
      </c>
      <c r="C16" s="85">
        <v>230193</v>
      </c>
    </row>
    <row r="17" spans="1:3" x14ac:dyDescent="0.3">
      <c r="A17" s="5" t="s">
        <v>579</v>
      </c>
      <c r="B17" s="5" t="s">
        <v>578</v>
      </c>
      <c r="C17" s="84">
        <v>229524</v>
      </c>
    </row>
    <row r="18" spans="1:3" x14ac:dyDescent="0.3">
      <c r="A18" s="4" t="s">
        <v>577</v>
      </c>
      <c r="B18" s="4" t="s">
        <v>576</v>
      </c>
      <c r="C18" s="85">
        <v>230644</v>
      </c>
    </row>
    <row r="19" spans="1:3" x14ac:dyDescent="0.3">
      <c r="A19" s="5" t="s">
        <v>575</v>
      </c>
      <c r="B19" s="5" t="s">
        <v>574</v>
      </c>
      <c r="C19" s="84">
        <v>231001</v>
      </c>
    </row>
    <row r="20" spans="1:3" x14ac:dyDescent="0.3">
      <c r="A20" s="4" t="s">
        <v>573</v>
      </c>
      <c r="B20" s="4" t="s">
        <v>572</v>
      </c>
      <c r="C20" s="85">
        <v>231304</v>
      </c>
    </row>
    <row r="21" spans="1:3" x14ac:dyDescent="0.3">
      <c r="A21" s="5" t="s">
        <v>571</v>
      </c>
      <c r="B21" s="5" t="s">
        <v>570</v>
      </c>
      <c r="C21" s="84">
        <v>232502</v>
      </c>
    </row>
    <row r="22" spans="1:3" x14ac:dyDescent="0.3">
      <c r="A22" s="4" t="s">
        <v>569</v>
      </c>
      <c r="B22" s="4" t="s">
        <v>568</v>
      </c>
      <c r="C22" s="85">
        <v>234693</v>
      </c>
    </row>
    <row r="23" spans="1:3" x14ac:dyDescent="0.3">
      <c r="A23" s="5" t="s">
        <v>567</v>
      </c>
      <c r="B23" s="5" t="s">
        <v>566</v>
      </c>
      <c r="C23" s="84">
        <v>232492</v>
      </c>
    </row>
    <row r="24" spans="1:3" x14ac:dyDescent="0.3">
      <c r="A24" s="4" t="s">
        <v>565</v>
      </c>
      <c r="B24" s="4" t="s">
        <v>564</v>
      </c>
      <c r="C24" s="85">
        <v>235261</v>
      </c>
    </row>
    <row r="25" spans="1:3" x14ac:dyDescent="0.3">
      <c r="A25" s="5" t="s">
        <v>563</v>
      </c>
      <c r="B25" s="5" t="s">
        <v>562</v>
      </c>
      <c r="C25" s="84">
        <v>232903</v>
      </c>
    </row>
    <row r="26" spans="1:3" x14ac:dyDescent="0.3">
      <c r="A26" s="4" t="s">
        <v>561</v>
      </c>
      <c r="B26" s="4" t="s">
        <v>560</v>
      </c>
      <c r="C26" s="85">
        <v>232288</v>
      </c>
    </row>
    <row r="27" spans="1:3" x14ac:dyDescent="0.3">
      <c r="A27" s="5" t="s">
        <v>559</v>
      </c>
      <c r="B27" s="5" t="s">
        <v>558</v>
      </c>
      <c r="C27" s="84">
        <v>232339</v>
      </c>
    </row>
    <row r="28" spans="1:3" x14ac:dyDescent="0.3">
      <c r="A28" s="4" t="s">
        <v>557</v>
      </c>
      <c r="B28" s="4" t="s">
        <v>556</v>
      </c>
      <c r="C28" s="85">
        <v>230447</v>
      </c>
    </row>
    <row r="29" spans="1:3" x14ac:dyDescent="0.3">
      <c r="A29" s="5" t="s">
        <v>555</v>
      </c>
      <c r="B29" s="5" t="s">
        <v>554</v>
      </c>
      <c r="C29" s="84">
        <v>231830</v>
      </c>
    </row>
    <row r="30" spans="1:3" x14ac:dyDescent="0.3">
      <c r="A30" s="4" t="s">
        <v>553</v>
      </c>
      <c r="B30" s="4" t="s">
        <v>552</v>
      </c>
      <c r="C30" s="85">
        <v>231901</v>
      </c>
    </row>
    <row r="31" spans="1:3" x14ac:dyDescent="0.3">
      <c r="A31" s="5" t="s">
        <v>551</v>
      </c>
      <c r="B31" s="5" t="s">
        <v>550</v>
      </c>
      <c r="C31" s="84">
        <v>230952</v>
      </c>
    </row>
    <row r="32" spans="1:3" x14ac:dyDescent="0.3">
      <c r="A32" s="4" t="s">
        <v>549</v>
      </c>
      <c r="B32" s="4" t="s">
        <v>548</v>
      </c>
      <c r="C32" s="85">
        <v>230552</v>
      </c>
    </row>
    <row r="33" spans="1:3" x14ac:dyDescent="0.3">
      <c r="A33" s="5" t="s">
        <v>547</v>
      </c>
      <c r="B33" s="5" t="s">
        <v>546</v>
      </c>
      <c r="C33" s="84">
        <v>231617</v>
      </c>
    </row>
    <row r="34" spans="1:3" x14ac:dyDescent="0.3">
      <c r="A34" s="4" t="s">
        <v>545</v>
      </c>
      <c r="B34" s="4" t="s">
        <v>544</v>
      </c>
      <c r="C34" s="85">
        <v>231617</v>
      </c>
    </row>
    <row r="35" spans="1:3" x14ac:dyDescent="0.3">
      <c r="A35" s="5" t="s">
        <v>543</v>
      </c>
      <c r="B35" s="5" t="s">
        <v>542</v>
      </c>
      <c r="C35" s="84">
        <v>227948</v>
      </c>
    </row>
    <row r="36" spans="1:3" x14ac:dyDescent="0.3">
      <c r="A36" s="4" t="s">
        <v>541</v>
      </c>
      <c r="B36" s="4" t="s">
        <v>540</v>
      </c>
      <c r="C36" s="85">
        <v>227758</v>
      </c>
    </row>
    <row r="37" spans="1:3" x14ac:dyDescent="0.3">
      <c r="A37" s="5" t="s">
        <v>539</v>
      </c>
      <c r="B37" s="5" t="s">
        <v>538</v>
      </c>
      <c r="C37" s="84">
        <v>212507</v>
      </c>
    </row>
    <row r="38" spans="1:3" x14ac:dyDescent="0.3">
      <c r="A38" s="4" t="s">
        <v>537</v>
      </c>
      <c r="B38" s="4" t="s">
        <v>536</v>
      </c>
      <c r="C38" s="85">
        <v>224661</v>
      </c>
    </row>
    <row r="39" spans="1:3" x14ac:dyDescent="0.3">
      <c r="A39" s="5" t="s">
        <v>535</v>
      </c>
      <c r="B39" s="5" t="s">
        <v>534</v>
      </c>
      <c r="C39" s="84">
        <v>217316</v>
      </c>
    </row>
    <row r="40" spans="1:3" x14ac:dyDescent="0.3">
      <c r="A40" s="4" t="s">
        <v>533</v>
      </c>
      <c r="B40" s="4" t="s">
        <v>532</v>
      </c>
      <c r="C40" s="85">
        <v>213163</v>
      </c>
    </row>
    <row r="41" spans="1:3" x14ac:dyDescent="0.3">
      <c r="A41" s="5" t="s">
        <v>531</v>
      </c>
      <c r="B41" s="5" t="s">
        <v>530</v>
      </c>
      <c r="C41" s="84">
        <v>209008</v>
      </c>
    </row>
    <row r="42" spans="1:3" x14ac:dyDescent="0.3">
      <c r="A42" s="4" t="s">
        <v>529</v>
      </c>
      <c r="B42" s="4" t="s">
        <v>528</v>
      </c>
      <c r="C42" s="85">
        <v>204887</v>
      </c>
    </row>
    <row r="43" spans="1:3" x14ac:dyDescent="0.3">
      <c r="A43" s="5" t="s">
        <v>527</v>
      </c>
      <c r="B43" s="5" t="s">
        <v>526</v>
      </c>
      <c r="C43" s="84">
        <v>209714</v>
      </c>
    </row>
    <row r="44" spans="1:3" x14ac:dyDescent="0.3">
      <c r="A44" s="4" t="s">
        <v>525</v>
      </c>
      <c r="B44" s="4" t="s">
        <v>524</v>
      </c>
      <c r="C44" s="85">
        <v>209714</v>
      </c>
    </row>
    <row r="45" spans="1:3" x14ac:dyDescent="0.3">
      <c r="A45" s="5" t="s">
        <v>523</v>
      </c>
      <c r="B45" s="5" t="s">
        <v>522</v>
      </c>
      <c r="C45" s="84">
        <v>206896</v>
      </c>
    </row>
    <row r="46" spans="1:3" x14ac:dyDescent="0.3">
      <c r="A46" s="4" t="s">
        <v>521</v>
      </c>
      <c r="B46" s="4" t="s">
        <v>520</v>
      </c>
      <c r="C46" s="85">
        <v>206862</v>
      </c>
    </row>
    <row r="47" spans="1:3" x14ac:dyDescent="0.3">
      <c r="A47" s="5" t="s">
        <v>519</v>
      </c>
      <c r="B47" s="5" t="s">
        <v>518</v>
      </c>
      <c r="C47" s="84">
        <v>205122</v>
      </c>
    </row>
    <row r="48" spans="1:3" x14ac:dyDescent="0.3">
      <c r="A48" s="4" t="s">
        <v>517</v>
      </c>
      <c r="B48" s="4" t="s">
        <v>516</v>
      </c>
      <c r="C48" s="85">
        <v>206060</v>
      </c>
    </row>
    <row r="49" spans="1:3" x14ac:dyDescent="0.3">
      <c r="A49" s="5" t="s">
        <v>515</v>
      </c>
      <c r="B49" s="5" t="s">
        <v>514</v>
      </c>
      <c r="C49" s="84">
        <v>204513</v>
      </c>
    </row>
    <row r="50" spans="1:3" x14ac:dyDescent="0.3">
      <c r="A50" s="4" t="s">
        <v>513</v>
      </c>
      <c r="B50" s="4" t="s">
        <v>512</v>
      </c>
      <c r="C50" s="85">
        <v>205474</v>
      </c>
    </row>
    <row r="51" spans="1:3" x14ac:dyDescent="0.3">
      <c r="A51" s="5" t="s">
        <v>511</v>
      </c>
      <c r="B51" s="5" t="s">
        <v>510</v>
      </c>
      <c r="C51" s="84">
        <v>206683</v>
      </c>
    </row>
    <row r="52" spans="1:3" x14ac:dyDescent="0.3">
      <c r="A52" s="4" t="s">
        <v>509</v>
      </c>
      <c r="B52" s="4" t="s">
        <v>508</v>
      </c>
      <c r="C52" s="85">
        <v>205883</v>
      </c>
    </row>
    <row r="53" spans="1:3" x14ac:dyDescent="0.3">
      <c r="A53" s="5" t="s">
        <v>507</v>
      </c>
      <c r="B53" s="5" t="s">
        <v>506</v>
      </c>
      <c r="C53" s="84">
        <v>205859</v>
      </c>
    </row>
    <row r="54" spans="1:3" x14ac:dyDescent="0.3">
      <c r="A54" s="4" t="s">
        <v>505</v>
      </c>
      <c r="B54" s="4" t="s">
        <v>504</v>
      </c>
      <c r="C54" s="85">
        <v>204509</v>
      </c>
    </row>
    <row r="55" spans="1:3" x14ac:dyDescent="0.3">
      <c r="A55" s="5" t="s">
        <v>503</v>
      </c>
      <c r="B55" s="5" t="s">
        <v>502</v>
      </c>
      <c r="C55" s="84">
        <v>204147</v>
      </c>
    </row>
    <row r="56" spans="1:3" x14ac:dyDescent="0.3">
      <c r="A56" s="4" t="s">
        <v>501</v>
      </c>
      <c r="B56" s="4" t="s">
        <v>500</v>
      </c>
      <c r="C56" s="85">
        <v>204651</v>
      </c>
    </row>
    <row r="57" spans="1:3" x14ac:dyDescent="0.3">
      <c r="A57" s="5" t="s">
        <v>499</v>
      </c>
      <c r="B57" s="5" t="s">
        <v>498</v>
      </c>
      <c r="C57" s="84">
        <v>204386</v>
      </c>
    </row>
    <row r="58" spans="1:3" x14ac:dyDescent="0.3">
      <c r="A58" s="4" t="s">
        <v>497</v>
      </c>
      <c r="B58" s="4" t="s">
        <v>496</v>
      </c>
      <c r="C58" s="85">
        <v>204337</v>
      </c>
    </row>
    <row r="59" spans="1:3" x14ac:dyDescent="0.3">
      <c r="A59" s="5" t="s">
        <v>495</v>
      </c>
      <c r="B59" s="5" t="s">
        <v>494</v>
      </c>
      <c r="C59" s="84">
        <v>204459</v>
      </c>
    </row>
    <row r="60" spans="1:3" x14ac:dyDescent="0.3">
      <c r="A60" s="4" t="s">
        <v>493</v>
      </c>
      <c r="B60" s="4" t="s">
        <v>492</v>
      </c>
      <c r="C60" s="85">
        <v>203750</v>
      </c>
    </row>
    <row r="61" spans="1:3" x14ac:dyDescent="0.3">
      <c r="A61" s="5" t="s">
        <v>491</v>
      </c>
      <c r="B61" s="5" t="s">
        <v>490</v>
      </c>
      <c r="C61" s="84">
        <v>203262</v>
      </c>
    </row>
    <row r="62" spans="1:3" x14ac:dyDescent="0.3">
      <c r="A62" s="4" t="s">
        <v>489</v>
      </c>
      <c r="B62" s="4" t="s">
        <v>488</v>
      </c>
      <c r="C62" s="85">
        <v>203262</v>
      </c>
    </row>
    <row r="63" spans="1:3" x14ac:dyDescent="0.3">
      <c r="A63" s="5" t="s">
        <v>487</v>
      </c>
      <c r="B63" s="5" t="s">
        <v>486</v>
      </c>
      <c r="C63" s="84">
        <v>204686</v>
      </c>
    </row>
    <row r="64" spans="1:3" x14ac:dyDescent="0.3">
      <c r="A64" s="4" t="s">
        <v>485</v>
      </c>
      <c r="B64" s="4" t="s">
        <v>484</v>
      </c>
      <c r="C64" s="85">
        <v>203336</v>
      </c>
    </row>
    <row r="65" spans="1:3" x14ac:dyDescent="0.3">
      <c r="A65" s="5" t="s">
        <v>483</v>
      </c>
      <c r="B65" s="5" t="s">
        <v>482</v>
      </c>
      <c r="C65" s="84">
        <v>204020</v>
      </c>
    </row>
    <row r="66" spans="1:3" x14ac:dyDescent="0.3">
      <c r="A66" s="4" t="s">
        <v>481</v>
      </c>
      <c r="B66" s="4" t="s">
        <v>480</v>
      </c>
      <c r="C66" s="85">
        <v>203901</v>
      </c>
    </row>
    <row r="67" spans="1:3" x14ac:dyDescent="0.3">
      <c r="A67" s="5" t="s">
        <v>479</v>
      </c>
      <c r="B67" s="5" t="s">
        <v>478</v>
      </c>
      <c r="C67" s="84">
        <v>205488</v>
      </c>
    </row>
    <row r="68" spans="1:3" x14ac:dyDescent="0.3">
      <c r="A68" s="4" t="s">
        <v>477</v>
      </c>
      <c r="B68" s="4" t="s">
        <v>476</v>
      </c>
      <c r="C68" s="85">
        <v>204186</v>
      </c>
    </row>
    <row r="69" spans="1:3" x14ac:dyDescent="0.3">
      <c r="A69" s="5" t="s">
        <v>475</v>
      </c>
      <c r="B69" s="5" t="s">
        <v>474</v>
      </c>
      <c r="C69" s="84">
        <v>205693</v>
      </c>
    </row>
    <row r="70" spans="1:3" x14ac:dyDescent="0.3">
      <c r="A70" s="4" t="s">
        <v>473</v>
      </c>
      <c r="B70" s="4" t="s">
        <v>472</v>
      </c>
      <c r="C70" s="85">
        <v>205160</v>
      </c>
    </row>
    <row r="71" spans="1:3" x14ac:dyDescent="0.3">
      <c r="A71" s="5" t="s">
        <v>471</v>
      </c>
      <c r="B71" s="5" t="s">
        <v>470</v>
      </c>
      <c r="C71" s="84">
        <v>205916</v>
      </c>
    </row>
    <row r="72" spans="1:3" x14ac:dyDescent="0.3">
      <c r="A72" s="4" t="s">
        <v>469</v>
      </c>
      <c r="B72" s="4" t="s">
        <v>468</v>
      </c>
      <c r="C72" s="85">
        <v>207043</v>
      </c>
    </row>
    <row r="73" spans="1:3" x14ac:dyDescent="0.3">
      <c r="A73" s="5" t="s">
        <v>467</v>
      </c>
      <c r="B73" s="5" t="s">
        <v>466</v>
      </c>
      <c r="C73" s="84">
        <v>211177</v>
      </c>
    </row>
    <row r="74" spans="1:3" x14ac:dyDescent="0.3">
      <c r="A74" s="4" t="s">
        <v>465</v>
      </c>
      <c r="B74" s="4" t="s">
        <v>464</v>
      </c>
      <c r="C74" s="85">
        <v>208919</v>
      </c>
    </row>
    <row r="75" spans="1:3" x14ac:dyDescent="0.3">
      <c r="A75" s="5" t="s">
        <v>463</v>
      </c>
      <c r="B75" s="5" t="s">
        <v>462</v>
      </c>
      <c r="C75" s="84">
        <v>210206</v>
      </c>
    </row>
    <row r="76" spans="1:3" x14ac:dyDescent="0.3">
      <c r="A76" s="4" t="s">
        <v>461</v>
      </c>
      <c r="B76" s="4" t="s">
        <v>460</v>
      </c>
      <c r="C76" s="85">
        <v>209645</v>
      </c>
    </row>
    <row r="77" spans="1:3" x14ac:dyDescent="0.3">
      <c r="A77" s="5" t="s">
        <v>459</v>
      </c>
      <c r="B77" s="5" t="s">
        <v>458</v>
      </c>
      <c r="C77" s="84">
        <v>210319</v>
      </c>
    </row>
    <row r="78" spans="1:3" x14ac:dyDescent="0.3">
      <c r="A78" s="4" t="s">
        <v>457</v>
      </c>
      <c r="B78" s="4" t="s">
        <v>456</v>
      </c>
      <c r="C78" s="85">
        <v>208278</v>
      </c>
    </row>
    <row r="79" spans="1:3" x14ac:dyDescent="0.3">
      <c r="A79" s="5" t="s">
        <v>455</v>
      </c>
      <c r="B79" s="5" t="s">
        <v>454</v>
      </c>
      <c r="C79" s="84">
        <v>212720</v>
      </c>
    </row>
    <row r="80" spans="1:3" x14ac:dyDescent="0.3">
      <c r="A80" s="4" t="s">
        <v>453</v>
      </c>
      <c r="B80" s="4" t="s">
        <v>452</v>
      </c>
      <c r="C80" s="85">
        <v>213812</v>
      </c>
    </row>
    <row r="81" spans="1:3" x14ac:dyDescent="0.3">
      <c r="A81" s="5" t="s">
        <v>451</v>
      </c>
      <c r="B81" s="5" t="s">
        <v>450</v>
      </c>
      <c r="C81" s="84">
        <v>213661</v>
      </c>
    </row>
    <row r="82" spans="1:3" x14ac:dyDescent="0.3">
      <c r="A82" s="4" t="s">
        <v>449</v>
      </c>
      <c r="B82" s="4" t="s">
        <v>448</v>
      </c>
      <c r="C82" s="85">
        <v>215986</v>
      </c>
    </row>
    <row r="83" spans="1:3" x14ac:dyDescent="0.3">
      <c r="A83" s="5" t="s">
        <v>447</v>
      </c>
      <c r="B83" s="5" t="s">
        <v>446</v>
      </c>
      <c r="C83" s="84">
        <v>216834</v>
      </c>
    </row>
    <row r="84" spans="1:3" x14ac:dyDescent="0.3">
      <c r="A84" s="4" t="s">
        <v>445</v>
      </c>
      <c r="B84" s="4" t="s">
        <v>444</v>
      </c>
      <c r="C84" s="85">
        <v>219264</v>
      </c>
    </row>
    <row r="85" spans="1:3" x14ac:dyDescent="0.3">
      <c r="A85" s="5" t="s">
        <v>443</v>
      </c>
      <c r="B85" s="5" t="s">
        <v>442</v>
      </c>
      <c r="C85" s="84">
        <v>219823</v>
      </c>
    </row>
    <row r="86" spans="1:3" x14ac:dyDescent="0.3">
      <c r="A86" s="4" t="s">
        <v>441</v>
      </c>
      <c r="B86" s="4" t="s">
        <v>440</v>
      </c>
      <c r="C86" s="85">
        <v>219065</v>
      </c>
    </row>
    <row r="87" spans="1:3" x14ac:dyDescent="0.3">
      <c r="A87" s="5" t="s">
        <v>439</v>
      </c>
      <c r="B87" s="5" t="s">
        <v>438</v>
      </c>
      <c r="C87" s="84">
        <v>221016</v>
      </c>
    </row>
    <row r="88" spans="1:3" x14ac:dyDescent="0.3">
      <c r="A88" s="4" t="s">
        <v>437</v>
      </c>
      <c r="B88" s="4" t="s">
        <v>436</v>
      </c>
      <c r="C88" s="85">
        <v>221384</v>
      </c>
    </row>
    <row r="89" spans="1:3" x14ac:dyDescent="0.3">
      <c r="A89" s="5" t="s">
        <v>435</v>
      </c>
      <c r="B89" s="5" t="s">
        <v>434</v>
      </c>
      <c r="C89" s="84">
        <v>224076</v>
      </c>
    </row>
    <row r="90" spans="1:3" x14ac:dyDescent="0.3">
      <c r="A90" s="4" t="s">
        <v>433</v>
      </c>
      <c r="B90" s="4" t="s">
        <v>432</v>
      </c>
      <c r="C90" s="85">
        <v>224369</v>
      </c>
    </row>
    <row r="91" spans="1:3" x14ac:dyDescent="0.3">
      <c r="A91" s="5" t="s">
        <v>431</v>
      </c>
      <c r="B91" s="5" t="s">
        <v>430</v>
      </c>
      <c r="C91" s="84">
        <v>222882</v>
      </c>
    </row>
    <row r="92" spans="1:3" x14ac:dyDescent="0.3">
      <c r="A92" s="4" t="s">
        <v>429</v>
      </c>
      <c r="B92" s="4" t="s">
        <v>428</v>
      </c>
      <c r="C92" s="85">
        <v>221205</v>
      </c>
    </row>
    <row r="93" spans="1:3" x14ac:dyDescent="0.3">
      <c r="A93" s="5" t="s">
        <v>427</v>
      </c>
      <c r="B93" s="5" t="s">
        <v>426</v>
      </c>
      <c r="C93" s="84">
        <v>223331</v>
      </c>
    </row>
    <row r="94" spans="1:3" x14ac:dyDescent="0.3">
      <c r="A94" s="4" t="s">
        <v>425</v>
      </c>
      <c r="B94" s="4" t="s">
        <v>424</v>
      </c>
      <c r="C94" s="85">
        <v>223563</v>
      </c>
    </row>
    <row r="95" spans="1:3" x14ac:dyDescent="0.3">
      <c r="A95" s="5" t="s">
        <v>423</v>
      </c>
      <c r="B95" s="5" t="s">
        <v>422</v>
      </c>
      <c r="C95" s="84">
        <v>224287</v>
      </c>
    </row>
    <row r="96" spans="1:3" x14ac:dyDescent="0.3">
      <c r="A96" s="4" t="s">
        <v>421</v>
      </c>
      <c r="B96" s="4" t="s">
        <v>420</v>
      </c>
      <c r="C96" s="85">
        <v>224287</v>
      </c>
    </row>
    <row r="97" spans="1:3" x14ac:dyDescent="0.3">
      <c r="A97" s="5" t="s">
        <v>419</v>
      </c>
      <c r="B97" s="5" t="s">
        <v>418</v>
      </c>
      <c r="C97" s="84">
        <v>224025</v>
      </c>
    </row>
    <row r="98" spans="1:3" x14ac:dyDescent="0.3">
      <c r="A98" s="4" t="s">
        <v>417</v>
      </c>
      <c r="B98" s="4" t="s">
        <v>416</v>
      </c>
      <c r="C98" s="85">
        <v>223649</v>
      </c>
    </row>
    <row r="99" spans="1:3" x14ac:dyDescent="0.3">
      <c r="A99" s="5" t="s">
        <v>415</v>
      </c>
      <c r="B99" s="5" t="s">
        <v>414</v>
      </c>
      <c r="C99" s="84">
        <v>224022</v>
      </c>
    </row>
    <row r="100" spans="1:3" x14ac:dyDescent="0.3">
      <c r="A100" s="4" t="s">
        <v>413</v>
      </c>
      <c r="B100" s="4" t="s">
        <v>412</v>
      </c>
      <c r="C100" s="85">
        <v>224022</v>
      </c>
    </row>
    <row r="101" spans="1:3" x14ac:dyDescent="0.3">
      <c r="A101" s="5" t="s">
        <v>411</v>
      </c>
      <c r="B101" s="5" t="s">
        <v>410</v>
      </c>
      <c r="C101" s="84">
        <v>223681</v>
      </c>
    </row>
    <row r="102" spans="1:3" x14ac:dyDescent="0.3">
      <c r="A102" s="4" t="s">
        <v>409</v>
      </c>
      <c r="B102" s="4" t="s">
        <v>408</v>
      </c>
      <c r="C102" s="85">
        <v>223589</v>
      </c>
    </row>
    <row r="103" spans="1:3" x14ac:dyDescent="0.3">
      <c r="A103" s="5" t="s">
        <v>407</v>
      </c>
      <c r="B103" s="5" t="s">
        <v>406</v>
      </c>
      <c r="C103" s="84">
        <v>222981</v>
      </c>
    </row>
    <row r="104" spans="1:3" x14ac:dyDescent="0.3">
      <c r="A104" s="4" t="s">
        <v>405</v>
      </c>
      <c r="B104" s="4" t="s">
        <v>404</v>
      </c>
      <c r="C104" s="85">
        <v>222981</v>
      </c>
    </row>
    <row r="105" spans="1:3" x14ac:dyDescent="0.3">
      <c r="A105" s="5" t="s">
        <v>403</v>
      </c>
      <c r="B105" s="5" t="s">
        <v>402</v>
      </c>
      <c r="C105" s="84">
        <v>223212</v>
      </c>
    </row>
    <row r="106" spans="1:3" x14ac:dyDescent="0.3">
      <c r="A106" s="4" t="s">
        <v>401</v>
      </c>
      <c r="B106" s="4" t="s">
        <v>400</v>
      </c>
      <c r="C106" s="85">
        <v>223996</v>
      </c>
    </row>
    <row r="107" spans="1:3" x14ac:dyDescent="0.3">
      <c r="A107" s="5" t="s">
        <v>399</v>
      </c>
      <c r="B107" s="5" t="s">
        <v>398</v>
      </c>
      <c r="C107" s="84">
        <v>224214</v>
      </c>
    </row>
    <row r="108" spans="1:3" x14ac:dyDescent="0.3">
      <c r="A108" s="4" t="s">
        <v>397</v>
      </c>
      <c r="B108" s="4" t="s">
        <v>396</v>
      </c>
      <c r="C108" s="85">
        <v>224184</v>
      </c>
    </row>
    <row r="109" spans="1:3" x14ac:dyDescent="0.3">
      <c r="A109" s="5" t="s">
        <v>395</v>
      </c>
      <c r="B109" s="5" t="s">
        <v>394</v>
      </c>
      <c r="C109" s="84">
        <v>223179</v>
      </c>
    </row>
    <row r="110" spans="1:3" x14ac:dyDescent="0.3">
      <c r="A110" s="4" t="s">
        <v>393</v>
      </c>
      <c r="B110" s="4" t="s">
        <v>392</v>
      </c>
      <c r="C110" s="85">
        <v>223179</v>
      </c>
    </row>
    <row r="111" spans="1:3" x14ac:dyDescent="0.3">
      <c r="A111" s="5" t="s">
        <v>391</v>
      </c>
      <c r="B111" s="5" t="s">
        <v>390</v>
      </c>
      <c r="C111" s="84">
        <v>225959</v>
      </c>
    </row>
    <row r="112" spans="1:3" x14ac:dyDescent="0.3">
      <c r="A112" s="4" t="s">
        <v>389</v>
      </c>
      <c r="B112" s="4" t="s">
        <v>388</v>
      </c>
      <c r="C112" s="85">
        <v>226009</v>
      </c>
    </row>
    <row r="113" spans="1:3" x14ac:dyDescent="0.3">
      <c r="A113" s="5" t="s">
        <v>387</v>
      </c>
      <c r="B113" s="5" t="s">
        <v>386</v>
      </c>
      <c r="C113" s="84">
        <v>226961</v>
      </c>
    </row>
    <row r="114" spans="1:3" x14ac:dyDescent="0.3">
      <c r="A114" s="4" t="s">
        <v>385</v>
      </c>
      <c r="B114" s="4" t="s">
        <v>384</v>
      </c>
      <c r="C114" s="85">
        <v>226681</v>
      </c>
    </row>
    <row r="115" spans="1:3" x14ac:dyDescent="0.3">
      <c r="A115" s="5" t="s">
        <v>383</v>
      </c>
      <c r="B115" s="5" t="s">
        <v>382</v>
      </c>
      <c r="C115" s="84">
        <v>227127</v>
      </c>
    </row>
    <row r="116" spans="1:3" x14ac:dyDescent="0.3">
      <c r="A116" s="4" t="s">
        <v>381</v>
      </c>
      <c r="B116" s="4" t="s">
        <v>380</v>
      </c>
      <c r="C116" s="85">
        <v>227127</v>
      </c>
    </row>
    <row r="117" spans="1:3" x14ac:dyDescent="0.3">
      <c r="A117" s="5" t="s">
        <v>379</v>
      </c>
      <c r="B117" s="5" t="s">
        <v>378</v>
      </c>
      <c r="C117" s="84">
        <v>226878</v>
      </c>
    </row>
    <row r="118" spans="1:3" x14ac:dyDescent="0.3">
      <c r="A118" s="4" t="s">
        <v>377</v>
      </c>
      <c r="B118" s="4" t="s">
        <v>376</v>
      </c>
      <c r="C118" s="85">
        <v>228733</v>
      </c>
    </row>
    <row r="119" spans="1:3" x14ac:dyDescent="0.3">
      <c r="A119" s="5" t="s">
        <v>375</v>
      </c>
      <c r="B119" s="5" t="s">
        <v>374</v>
      </c>
      <c r="C119" s="84">
        <v>228733</v>
      </c>
    </row>
    <row r="120" spans="1:3" x14ac:dyDescent="0.3">
      <c r="A120" s="4" t="s">
        <v>373</v>
      </c>
      <c r="B120" s="4" t="s">
        <v>372</v>
      </c>
      <c r="C120" s="85">
        <v>230084</v>
      </c>
    </row>
    <row r="121" spans="1:3" x14ac:dyDescent="0.3">
      <c r="A121" s="5" t="s">
        <v>371</v>
      </c>
      <c r="B121" s="5" t="s">
        <v>370</v>
      </c>
      <c r="C121" s="84">
        <v>230718</v>
      </c>
    </row>
    <row r="122" spans="1:3" x14ac:dyDescent="0.3">
      <c r="A122" s="4" t="s">
        <v>369</v>
      </c>
      <c r="B122" s="4" t="s">
        <v>368</v>
      </c>
      <c r="C122" s="85">
        <v>229074</v>
      </c>
    </row>
    <row r="123" spans="1:3" x14ac:dyDescent="0.3">
      <c r="A123" s="5" t="s">
        <v>367</v>
      </c>
      <c r="B123" s="5" t="s">
        <v>366</v>
      </c>
      <c r="C123" s="84">
        <v>229992</v>
      </c>
    </row>
    <row r="124" spans="1:3" x14ac:dyDescent="0.3">
      <c r="A124" s="4" t="s">
        <v>365</v>
      </c>
      <c r="B124" s="4" t="s">
        <v>364</v>
      </c>
      <c r="C124" s="85">
        <v>230998</v>
      </c>
    </row>
    <row r="125" spans="1:3" x14ac:dyDescent="0.3">
      <c r="A125" s="5" t="s">
        <v>363</v>
      </c>
      <c r="B125" s="5" t="s">
        <v>362</v>
      </c>
      <c r="C125" s="84">
        <v>230487</v>
      </c>
    </row>
    <row r="126" spans="1:3" x14ac:dyDescent="0.3">
      <c r="A126" s="4" t="s">
        <v>361</v>
      </c>
      <c r="B126" s="4" t="s">
        <v>360</v>
      </c>
      <c r="C126" s="85">
        <v>231172</v>
      </c>
    </row>
    <row r="127" spans="1:3" x14ac:dyDescent="0.3">
      <c r="A127" s="5" t="s">
        <v>359</v>
      </c>
      <c r="B127" s="5" t="s">
        <v>358</v>
      </c>
      <c r="C127" s="84">
        <v>230902</v>
      </c>
    </row>
    <row r="128" spans="1:3" x14ac:dyDescent="0.3">
      <c r="A128" s="4" t="s">
        <v>357</v>
      </c>
      <c r="B128" s="4" t="s">
        <v>356</v>
      </c>
      <c r="C128" s="85">
        <v>230503</v>
      </c>
    </row>
    <row r="129" spans="1:3" x14ac:dyDescent="0.3">
      <c r="A129" s="5" t="s">
        <v>355</v>
      </c>
      <c r="B129" s="5" t="s">
        <v>354</v>
      </c>
      <c r="C129" s="84">
        <v>230024</v>
      </c>
    </row>
    <row r="130" spans="1:3" x14ac:dyDescent="0.3">
      <c r="A130" s="4" t="s">
        <v>353</v>
      </c>
      <c r="B130" s="4" t="s">
        <v>352</v>
      </c>
      <c r="C130" s="85">
        <v>229717</v>
      </c>
    </row>
    <row r="131" spans="1:3" x14ac:dyDescent="0.3">
      <c r="A131" s="5" t="s">
        <v>351</v>
      </c>
      <c r="B131" s="5" t="s">
        <v>350</v>
      </c>
      <c r="C131" s="84">
        <v>230774</v>
      </c>
    </row>
    <row r="132" spans="1:3" x14ac:dyDescent="0.3">
      <c r="A132" s="4" t="s">
        <v>349</v>
      </c>
      <c r="B132" s="4" t="s">
        <v>348</v>
      </c>
      <c r="C132" s="85">
        <v>229702</v>
      </c>
    </row>
    <row r="133" spans="1:3" x14ac:dyDescent="0.3">
      <c r="A133" s="5" t="s">
        <v>347</v>
      </c>
      <c r="B133" s="5" t="s">
        <v>346</v>
      </c>
      <c r="C133" s="84">
        <v>229789</v>
      </c>
    </row>
    <row r="134" spans="1:3" x14ac:dyDescent="0.3">
      <c r="A134" s="4" t="s">
        <v>345</v>
      </c>
      <c r="B134" s="4" t="s">
        <v>344</v>
      </c>
      <c r="C134" s="85">
        <v>230172</v>
      </c>
    </row>
    <row r="135" spans="1:3" x14ac:dyDescent="0.3">
      <c r="A135" s="5" t="s">
        <v>343</v>
      </c>
      <c r="B135" s="5" t="s">
        <v>342</v>
      </c>
      <c r="C135" s="84">
        <v>230172</v>
      </c>
    </row>
    <row r="136" spans="1:3" x14ac:dyDescent="0.3">
      <c r="A136" s="4" t="s">
        <v>341</v>
      </c>
      <c r="B136" s="4" t="s">
        <v>340</v>
      </c>
      <c r="C136" s="85">
        <v>230172</v>
      </c>
    </row>
    <row r="137" spans="1:3" x14ac:dyDescent="0.3">
      <c r="A137" s="5" t="s">
        <v>339</v>
      </c>
      <c r="B137" s="5" t="s">
        <v>338</v>
      </c>
      <c r="C137" s="84">
        <v>230172</v>
      </c>
    </row>
    <row r="138" spans="1:3" x14ac:dyDescent="0.3">
      <c r="A138" s="4" t="s">
        <v>337</v>
      </c>
      <c r="B138" s="4" t="s">
        <v>336</v>
      </c>
      <c r="C138" s="85">
        <v>230172</v>
      </c>
    </row>
    <row r="139" spans="1:3" x14ac:dyDescent="0.3">
      <c r="A139" s="5" t="s">
        <v>335</v>
      </c>
      <c r="B139" s="5" t="s">
        <v>334</v>
      </c>
      <c r="C139" s="84">
        <v>231774</v>
      </c>
    </row>
    <row r="140" spans="1:3" x14ac:dyDescent="0.3">
      <c r="A140" s="4" t="s">
        <v>333</v>
      </c>
      <c r="B140" s="4" t="s">
        <v>332</v>
      </c>
      <c r="C140" s="85">
        <v>230616</v>
      </c>
    </row>
    <row r="141" spans="1:3" x14ac:dyDescent="0.3">
      <c r="A141" s="5" t="s">
        <v>331</v>
      </c>
      <c r="B141" s="5" t="s">
        <v>330</v>
      </c>
      <c r="C141" s="84">
        <v>230878</v>
      </c>
    </row>
    <row r="142" spans="1:3" x14ac:dyDescent="0.3">
      <c r="A142" s="4" t="s">
        <v>329</v>
      </c>
      <c r="B142" s="4" t="s">
        <v>328</v>
      </c>
      <c r="C142" s="85">
        <v>231117</v>
      </c>
    </row>
    <row r="143" spans="1:3" x14ac:dyDescent="0.3">
      <c r="A143" s="5" t="s">
        <v>327</v>
      </c>
      <c r="B143" s="5" t="s">
        <v>326</v>
      </c>
      <c r="C143" s="84">
        <v>232812</v>
      </c>
    </row>
    <row r="144" spans="1:3" x14ac:dyDescent="0.3">
      <c r="A144" s="4" t="s">
        <v>325</v>
      </c>
      <c r="B144" s="4" t="s">
        <v>324</v>
      </c>
      <c r="C144" s="85">
        <v>231949</v>
      </c>
    </row>
    <row r="145" spans="1:3" x14ac:dyDescent="0.3">
      <c r="A145" s="5" t="s">
        <v>323</v>
      </c>
      <c r="B145" s="5" t="s">
        <v>322</v>
      </c>
      <c r="C145" s="84">
        <v>232236</v>
      </c>
    </row>
    <row r="146" spans="1:3" x14ac:dyDescent="0.3">
      <c r="A146" s="4" t="s">
        <v>321</v>
      </c>
      <c r="B146" s="4" t="s">
        <v>320</v>
      </c>
      <c r="C146" s="85">
        <v>231193</v>
      </c>
    </row>
    <row r="147" spans="1:3" x14ac:dyDescent="0.3">
      <c r="A147" s="5" t="s">
        <v>319</v>
      </c>
      <c r="B147" s="5" t="s">
        <v>318</v>
      </c>
      <c r="C147" s="84">
        <v>231991</v>
      </c>
    </row>
    <row r="148" spans="1:3" x14ac:dyDescent="0.3">
      <c r="A148" s="4" t="s">
        <v>317</v>
      </c>
      <c r="B148" s="4" t="s">
        <v>316</v>
      </c>
      <c r="C148" s="85">
        <v>231147</v>
      </c>
    </row>
    <row r="149" spans="1:3" x14ac:dyDescent="0.3">
      <c r="A149" s="5" t="s">
        <v>315</v>
      </c>
      <c r="B149" s="5" t="s">
        <v>314</v>
      </c>
      <c r="C149" s="84">
        <v>232692</v>
      </c>
    </row>
    <row r="150" spans="1:3" x14ac:dyDescent="0.3">
      <c r="A150" s="4" t="s">
        <v>313</v>
      </c>
      <c r="B150" s="4" t="s">
        <v>312</v>
      </c>
      <c r="C150" s="85">
        <v>232350</v>
      </c>
    </row>
    <row r="151" spans="1:3" x14ac:dyDescent="0.3">
      <c r="A151" s="5" t="s">
        <v>311</v>
      </c>
      <c r="B151" s="5" t="s">
        <v>310</v>
      </c>
      <c r="C151" s="84">
        <v>232350</v>
      </c>
    </row>
    <row r="152" spans="1:3" x14ac:dyDescent="0.3">
      <c r="A152" s="4" t="s">
        <v>309</v>
      </c>
      <c r="B152" s="4" t="s">
        <v>308</v>
      </c>
      <c r="C152" s="85">
        <v>232403</v>
      </c>
    </row>
    <row r="153" spans="1:3" x14ac:dyDescent="0.3">
      <c r="A153" s="5" t="s">
        <v>307</v>
      </c>
      <c r="B153" s="5" t="s">
        <v>306</v>
      </c>
      <c r="C153" s="84">
        <v>233417</v>
      </c>
    </row>
    <row r="154" spans="1:3" x14ac:dyDescent="0.3">
      <c r="A154" s="4" t="s">
        <v>305</v>
      </c>
      <c r="B154" s="4" t="s">
        <v>304</v>
      </c>
      <c r="C154" s="85">
        <v>235400</v>
      </c>
    </row>
    <row r="155" spans="1:3" x14ac:dyDescent="0.3">
      <c r="A155" s="5" t="s">
        <v>303</v>
      </c>
      <c r="B155" s="5" t="s">
        <v>302</v>
      </c>
      <c r="C155" s="84">
        <v>233160</v>
      </c>
    </row>
    <row r="156" spans="1:3" x14ac:dyDescent="0.3">
      <c r="A156" s="4" t="s">
        <v>301</v>
      </c>
      <c r="B156" s="4" t="s">
        <v>300</v>
      </c>
      <c r="C156" s="85">
        <v>234170</v>
      </c>
    </row>
    <row r="157" spans="1:3" x14ac:dyDescent="0.3">
      <c r="A157" s="5" t="s">
        <v>299</v>
      </c>
      <c r="B157" s="5" t="s">
        <v>298</v>
      </c>
      <c r="C157" s="84">
        <v>234108</v>
      </c>
    </row>
    <row r="158" spans="1:3" x14ac:dyDescent="0.3">
      <c r="A158" s="4" t="s">
        <v>297</v>
      </c>
      <c r="B158" s="4" t="s">
        <v>296</v>
      </c>
      <c r="C158" s="85">
        <v>234108</v>
      </c>
    </row>
    <row r="159" spans="1:3" x14ac:dyDescent="0.3">
      <c r="A159" s="5" t="s">
        <v>295</v>
      </c>
      <c r="B159" s="5" t="s">
        <v>294</v>
      </c>
      <c r="C159" s="84">
        <v>233926</v>
      </c>
    </row>
    <row r="160" spans="1:3" x14ac:dyDescent="0.3">
      <c r="A160" s="4" t="s">
        <v>293</v>
      </c>
      <c r="B160" s="4" t="s">
        <v>292</v>
      </c>
      <c r="C160" s="85">
        <v>234370</v>
      </c>
    </row>
    <row r="161" spans="1:3" x14ac:dyDescent="0.3">
      <c r="A161" s="5" t="s">
        <v>291</v>
      </c>
      <c r="B161" s="5" t="s">
        <v>290</v>
      </c>
      <c r="C161" s="84">
        <v>235037</v>
      </c>
    </row>
    <row r="162" spans="1:3" x14ac:dyDescent="0.3">
      <c r="A162" s="4" t="s">
        <v>289</v>
      </c>
      <c r="B162" s="4" t="s">
        <v>288</v>
      </c>
      <c r="C162" s="85">
        <v>235580</v>
      </c>
    </row>
    <row r="163" spans="1:3" x14ac:dyDescent="0.3">
      <c r="A163" s="5" t="s">
        <v>287</v>
      </c>
      <c r="B163" s="5" t="s">
        <v>286</v>
      </c>
      <c r="C163" s="84">
        <v>236435</v>
      </c>
    </row>
    <row r="164" spans="1:3" x14ac:dyDescent="0.3">
      <c r="A164" s="4" t="s">
        <v>285</v>
      </c>
      <c r="B164" s="4" t="s">
        <v>284</v>
      </c>
      <c r="C164" s="85">
        <v>234501</v>
      </c>
    </row>
    <row r="165" spans="1:3" x14ac:dyDescent="0.3">
      <c r="A165" s="5" t="s">
        <v>283</v>
      </c>
      <c r="B165" s="5" t="s">
        <v>282</v>
      </c>
      <c r="C165" s="84">
        <v>234663</v>
      </c>
    </row>
    <row r="166" spans="1:3" x14ac:dyDescent="0.3">
      <c r="A166" s="4" t="s">
        <v>281</v>
      </c>
      <c r="B166" s="4" t="s">
        <v>280</v>
      </c>
      <c r="C166" s="85">
        <v>234753</v>
      </c>
    </row>
    <row r="167" spans="1:3" x14ac:dyDescent="0.3">
      <c r="A167" s="5" t="s">
        <v>279</v>
      </c>
      <c r="B167" s="5" t="s">
        <v>278</v>
      </c>
      <c r="C167" s="84">
        <v>234234</v>
      </c>
    </row>
    <row r="168" spans="1:3" x14ac:dyDescent="0.3">
      <c r="A168" s="4" t="s">
        <v>277</v>
      </c>
      <c r="B168" s="4" t="s">
        <v>276</v>
      </c>
      <c r="C168" s="85">
        <v>234065</v>
      </c>
    </row>
    <row r="169" spans="1:3" x14ac:dyDescent="0.3">
      <c r="A169" s="5" t="s">
        <v>275</v>
      </c>
      <c r="B169" s="5" t="s">
        <v>274</v>
      </c>
      <c r="C169" s="84">
        <v>234094</v>
      </c>
    </row>
    <row r="170" spans="1:3" x14ac:dyDescent="0.3">
      <c r="A170" s="4" t="s">
        <v>273</v>
      </c>
      <c r="B170" s="4" t="s">
        <v>272</v>
      </c>
      <c r="C170" s="85">
        <v>234115</v>
      </c>
    </row>
    <row r="171" spans="1:3" x14ac:dyDescent="0.3">
      <c r="A171" s="5" t="s">
        <v>271</v>
      </c>
      <c r="B171" s="5" t="s">
        <v>270</v>
      </c>
      <c r="C171" s="84">
        <v>233485</v>
      </c>
    </row>
    <row r="172" spans="1:3" x14ac:dyDescent="0.3">
      <c r="A172" s="4" t="s">
        <v>269</v>
      </c>
      <c r="B172" s="4" t="s">
        <v>268</v>
      </c>
      <c r="C172" s="85">
        <v>232866</v>
      </c>
    </row>
    <row r="173" spans="1:3" x14ac:dyDescent="0.3">
      <c r="A173" s="5" t="s">
        <v>267</v>
      </c>
      <c r="B173" s="5" t="s">
        <v>266</v>
      </c>
      <c r="C173" s="84">
        <v>233257</v>
      </c>
    </row>
    <row r="174" spans="1:3" x14ac:dyDescent="0.3">
      <c r="A174" s="4" t="s">
        <v>265</v>
      </c>
      <c r="B174" s="4" t="s">
        <v>264</v>
      </c>
      <c r="C174" s="85">
        <v>233440</v>
      </c>
    </row>
    <row r="175" spans="1:3" x14ac:dyDescent="0.3">
      <c r="A175" s="5" t="s">
        <v>263</v>
      </c>
      <c r="B175" s="5" t="s">
        <v>262</v>
      </c>
      <c r="C175" s="84">
        <v>233199</v>
      </c>
    </row>
    <row r="176" spans="1:3" x14ac:dyDescent="0.3">
      <c r="A176" s="4" t="s">
        <v>261</v>
      </c>
      <c r="B176" s="4" t="s">
        <v>260</v>
      </c>
      <c r="C176" s="85">
        <v>234392</v>
      </c>
    </row>
    <row r="177" spans="1:3" x14ac:dyDescent="0.3">
      <c r="A177" s="5" t="s">
        <v>259</v>
      </c>
      <c r="B177" s="5" t="s">
        <v>258</v>
      </c>
      <c r="C177" s="84">
        <v>234165</v>
      </c>
    </row>
    <row r="178" spans="1:3" x14ac:dyDescent="0.3">
      <c r="A178" s="4" t="s">
        <v>257</v>
      </c>
      <c r="B178" s="4" t="s">
        <v>256</v>
      </c>
      <c r="C178" s="85">
        <v>233324</v>
      </c>
    </row>
    <row r="179" spans="1:3" x14ac:dyDescent="0.3">
      <c r="A179" s="5" t="s">
        <v>255</v>
      </c>
      <c r="B179" s="5" t="s">
        <v>254</v>
      </c>
      <c r="C179" s="84">
        <v>232427</v>
      </c>
    </row>
    <row r="180" spans="1:3" x14ac:dyDescent="0.3">
      <c r="A180" s="4" t="s">
        <v>253</v>
      </c>
      <c r="B180" s="4" t="s">
        <v>252</v>
      </c>
      <c r="C180" s="85">
        <v>232511</v>
      </c>
    </row>
    <row r="181" spans="1:3" x14ac:dyDescent="0.3">
      <c r="A181" s="5" t="s">
        <v>251</v>
      </c>
      <c r="B181" s="5" t="s">
        <v>250</v>
      </c>
      <c r="C181" s="84">
        <v>232526</v>
      </c>
    </row>
    <row r="182" spans="1:3" x14ac:dyDescent="0.3">
      <c r="A182" s="4" t="s">
        <v>249</v>
      </c>
      <c r="B182" s="4" t="s">
        <v>248</v>
      </c>
      <c r="C182" s="85">
        <v>233413</v>
      </c>
    </row>
    <row r="183" spans="1:3" x14ac:dyDescent="0.3">
      <c r="A183" s="5" t="s">
        <v>247</v>
      </c>
      <c r="B183" s="5" t="s">
        <v>246</v>
      </c>
      <c r="C183" s="84">
        <v>232717</v>
      </c>
    </row>
    <row r="184" spans="1:3" x14ac:dyDescent="0.3">
      <c r="A184" s="4" t="s">
        <v>245</v>
      </c>
      <c r="B184" s="4" t="s">
        <v>244</v>
      </c>
      <c r="C184" s="85">
        <v>232574</v>
      </c>
    </row>
    <row r="185" spans="1:3" x14ac:dyDescent="0.3">
      <c r="A185" s="5" t="s">
        <v>243</v>
      </c>
      <c r="B185" s="5" t="s">
        <v>242</v>
      </c>
      <c r="C185" s="84">
        <v>231906</v>
      </c>
    </row>
    <row r="186" spans="1:3" x14ac:dyDescent="0.3">
      <c r="A186" s="4" t="s">
        <v>241</v>
      </c>
      <c r="B186" s="4" t="s">
        <v>240</v>
      </c>
      <c r="C186" s="85">
        <v>231847</v>
      </c>
    </row>
    <row r="187" spans="1:3" x14ac:dyDescent="0.3">
      <c r="A187" s="5" t="s">
        <v>239</v>
      </c>
      <c r="B187" s="5" t="s">
        <v>238</v>
      </c>
      <c r="C187" s="84">
        <v>233614</v>
      </c>
    </row>
    <row r="188" spans="1:3" x14ac:dyDescent="0.3">
      <c r="A188" s="4" t="s">
        <v>237</v>
      </c>
      <c r="B188" s="4" t="s">
        <v>236</v>
      </c>
      <c r="C188" s="85">
        <v>235034</v>
      </c>
    </row>
    <row r="189" spans="1:3" x14ac:dyDescent="0.3">
      <c r="A189" s="5" t="s">
        <v>235</v>
      </c>
      <c r="B189" s="5" t="s">
        <v>234</v>
      </c>
      <c r="C189" s="84">
        <v>234489</v>
      </c>
    </row>
    <row r="190" spans="1:3" x14ac:dyDescent="0.3">
      <c r="A190" s="4" t="s">
        <v>233</v>
      </c>
      <c r="B190" s="4" t="s">
        <v>232</v>
      </c>
      <c r="C190" s="85">
        <v>234400</v>
      </c>
    </row>
    <row r="191" spans="1:3" x14ac:dyDescent="0.3">
      <c r="A191" s="5" t="s">
        <v>231</v>
      </c>
      <c r="B191" s="5" t="s">
        <v>230</v>
      </c>
      <c r="C191" s="84">
        <v>234494</v>
      </c>
    </row>
    <row r="192" spans="1:3" x14ac:dyDescent="0.3">
      <c r="A192" s="4" t="s">
        <v>229</v>
      </c>
      <c r="B192" s="4" t="s">
        <v>228</v>
      </c>
      <c r="C192" s="85">
        <v>235818</v>
      </c>
    </row>
    <row r="193" spans="1:3" x14ac:dyDescent="0.3">
      <c r="A193" s="5" t="s">
        <v>227</v>
      </c>
      <c r="B193" s="5" t="s">
        <v>226</v>
      </c>
      <c r="C193" s="84">
        <v>236659</v>
      </c>
    </row>
    <row r="194" spans="1:3" x14ac:dyDescent="0.3">
      <c r="A194" s="4" t="s">
        <v>225</v>
      </c>
      <c r="B194" s="4" t="s">
        <v>224</v>
      </c>
      <c r="C194" s="85">
        <v>236156</v>
      </c>
    </row>
    <row r="195" spans="1:3" x14ac:dyDescent="0.3">
      <c r="A195" s="5" t="s">
        <v>223</v>
      </c>
      <c r="B195" s="5" t="s">
        <v>222</v>
      </c>
      <c r="C195" s="84">
        <v>236321</v>
      </c>
    </row>
    <row r="196" spans="1:3" x14ac:dyDescent="0.3">
      <c r="A196" s="4" t="s">
        <v>221</v>
      </c>
      <c r="B196" s="4" t="s">
        <v>220</v>
      </c>
      <c r="C196" s="85">
        <v>236041</v>
      </c>
    </row>
    <row r="197" spans="1:3" x14ac:dyDescent="0.3">
      <c r="A197" s="5" t="s">
        <v>219</v>
      </c>
      <c r="B197" s="5" t="s">
        <v>218</v>
      </c>
      <c r="C197" s="84">
        <v>237128</v>
      </c>
    </row>
    <row r="198" spans="1:3" x14ac:dyDescent="0.3">
      <c r="A198" s="4" t="s">
        <v>217</v>
      </c>
      <c r="B198" s="4" t="s">
        <v>216</v>
      </c>
      <c r="C198" s="85">
        <v>236356</v>
      </c>
    </row>
    <row r="199" spans="1:3" x14ac:dyDescent="0.3">
      <c r="A199" s="5" t="s">
        <v>215</v>
      </c>
      <c r="B199" s="5" t="s">
        <v>214</v>
      </c>
      <c r="C199" s="84">
        <v>238013</v>
      </c>
    </row>
    <row r="200" spans="1:3" x14ac:dyDescent="0.3">
      <c r="A200" s="4" t="s">
        <v>213</v>
      </c>
      <c r="B200" s="4" t="s">
        <v>212</v>
      </c>
      <c r="C200" s="85">
        <v>235250</v>
      </c>
    </row>
    <row r="201" spans="1:3" x14ac:dyDescent="0.3">
      <c r="A201" s="5" t="s">
        <v>211</v>
      </c>
      <c r="B201" s="5" t="s">
        <v>210</v>
      </c>
      <c r="C201" s="84">
        <v>234809</v>
      </c>
    </row>
    <row r="202" spans="1:3" x14ac:dyDescent="0.3">
      <c r="A202" s="4" t="s">
        <v>209</v>
      </c>
      <c r="B202" s="4" t="s">
        <v>208</v>
      </c>
      <c r="C202" s="85">
        <v>235176</v>
      </c>
    </row>
    <row r="203" spans="1:3" x14ac:dyDescent="0.3">
      <c r="A203" s="5" t="s">
        <v>207</v>
      </c>
      <c r="B203" s="5" t="s">
        <v>206</v>
      </c>
      <c r="C203" s="84">
        <v>236141</v>
      </c>
    </row>
    <row r="204" spans="1:3" x14ac:dyDescent="0.3">
      <c r="A204" s="4" t="s">
        <v>205</v>
      </c>
      <c r="B204" s="4" t="s">
        <v>204</v>
      </c>
      <c r="C204" s="85">
        <v>235399</v>
      </c>
    </row>
    <row r="205" spans="1:3" x14ac:dyDescent="0.3">
      <c r="A205" s="5" t="s">
        <v>203</v>
      </c>
      <c r="B205" s="5" t="s">
        <v>202</v>
      </c>
      <c r="C205" s="84">
        <v>234894</v>
      </c>
    </row>
    <row r="206" spans="1:3" x14ac:dyDescent="0.3">
      <c r="A206" s="4" t="s">
        <v>201</v>
      </c>
      <c r="B206" s="4" t="s">
        <v>200</v>
      </c>
      <c r="C206" s="85">
        <v>236236</v>
      </c>
    </row>
    <row r="207" spans="1:3" x14ac:dyDescent="0.3">
      <c r="A207" s="5" t="s">
        <v>199</v>
      </c>
      <c r="B207" s="5" t="s">
        <v>198</v>
      </c>
      <c r="C207" s="84">
        <v>236073</v>
      </c>
    </row>
    <row r="208" spans="1:3" x14ac:dyDescent="0.3">
      <c r="A208" s="4" t="s">
        <v>197</v>
      </c>
      <c r="B208" s="4" t="s">
        <v>196</v>
      </c>
      <c r="C208" s="85">
        <v>236721</v>
      </c>
    </row>
    <row r="209" spans="1:3" x14ac:dyDescent="0.3">
      <c r="A209" s="5" t="s">
        <v>195</v>
      </c>
      <c r="B209" s="5" t="s">
        <v>194</v>
      </c>
      <c r="C209" s="84">
        <v>239366</v>
      </c>
    </row>
    <row r="210" spans="1:3" x14ac:dyDescent="0.3">
      <c r="A210" s="4" t="s">
        <v>193</v>
      </c>
      <c r="B210" s="4" t="s">
        <v>192</v>
      </c>
      <c r="C210" s="85">
        <v>239155</v>
      </c>
    </row>
    <row r="211" spans="1:3" x14ac:dyDescent="0.3">
      <c r="A211" s="5" t="s">
        <v>191</v>
      </c>
      <c r="B211" s="5" t="s">
        <v>190</v>
      </c>
      <c r="C211" s="84">
        <v>239218</v>
      </c>
    </row>
    <row r="212" spans="1:3" x14ac:dyDescent="0.3">
      <c r="A212" s="4" t="s">
        <v>189</v>
      </c>
      <c r="B212" s="4" t="s">
        <v>188</v>
      </c>
      <c r="C212" s="85">
        <v>239401</v>
      </c>
    </row>
    <row r="213" spans="1:3" x14ac:dyDescent="0.3">
      <c r="A213" s="5" t="s">
        <v>187</v>
      </c>
      <c r="B213" s="5" t="s">
        <v>186</v>
      </c>
      <c r="C213" s="84">
        <v>240192</v>
      </c>
    </row>
    <row r="214" spans="1:3" x14ac:dyDescent="0.3">
      <c r="A214" s="4" t="s">
        <v>185</v>
      </c>
      <c r="B214" s="4" t="s">
        <v>184</v>
      </c>
      <c r="C214" s="85">
        <v>241230</v>
      </c>
    </row>
    <row r="215" spans="1:3" x14ac:dyDescent="0.3">
      <c r="A215" s="5" t="s">
        <v>183</v>
      </c>
      <c r="B215" s="5" t="s">
        <v>182</v>
      </c>
      <c r="C215" s="84">
        <v>242200</v>
      </c>
    </row>
    <row r="216" spans="1:3" x14ac:dyDescent="0.3">
      <c r="A216" s="4" t="s">
        <v>181</v>
      </c>
      <c r="B216" s="4" t="s">
        <v>180</v>
      </c>
      <c r="C216" s="85">
        <v>243265</v>
      </c>
    </row>
    <row r="217" spans="1:3" x14ac:dyDescent="0.3">
      <c r="A217" s="5" t="s">
        <v>179</v>
      </c>
      <c r="B217" s="5" t="s">
        <v>178</v>
      </c>
      <c r="C217" s="84">
        <v>242634</v>
      </c>
    </row>
    <row r="218" spans="1:3" x14ac:dyDescent="0.3">
      <c r="A218" s="4" t="s">
        <v>177</v>
      </c>
      <c r="B218" s="4" t="s">
        <v>176</v>
      </c>
      <c r="C218" s="85">
        <v>243267</v>
      </c>
    </row>
    <row r="219" spans="1:3" x14ac:dyDescent="0.3">
      <c r="A219" s="5" t="s">
        <v>175</v>
      </c>
      <c r="B219" s="5" t="s">
        <v>174</v>
      </c>
      <c r="C219" s="84">
        <v>244140</v>
      </c>
    </row>
    <row r="220" spans="1:3" x14ac:dyDescent="0.3">
      <c r="A220" s="4" t="s">
        <v>173</v>
      </c>
      <c r="B220" s="4" t="s">
        <v>172</v>
      </c>
      <c r="C220" s="85">
        <v>244804</v>
      </c>
    </row>
    <row r="221" spans="1:3" x14ac:dyDescent="0.3">
      <c r="A221" s="5" t="s">
        <v>171</v>
      </c>
      <c r="B221" s="5" t="s">
        <v>170</v>
      </c>
      <c r="C221" s="84">
        <v>245346</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192"/>
  <sheetViews>
    <sheetView topLeftCell="A2" zoomScale="70" zoomScaleNormal="70" workbookViewId="0">
      <selection activeCell="Q19" sqref="Q19"/>
    </sheetView>
  </sheetViews>
  <sheetFormatPr defaultRowHeight="19.899999999999999" x14ac:dyDescent="0.65"/>
  <cols>
    <col min="1" max="1" width="8.7265625" style="36"/>
    <col min="2" max="2" width="10.36328125" style="36" bestFit="1" customWidth="1"/>
    <col min="3" max="3" width="9.26953125" style="36" bestFit="1" customWidth="1"/>
    <col min="4" max="4" width="14.1796875" style="36" bestFit="1" customWidth="1"/>
    <col min="5" max="15" width="8.7265625" style="36"/>
    <col min="16" max="16" width="8.81640625" style="36" bestFit="1" customWidth="1"/>
    <col min="17" max="16384" width="8.7265625" style="36"/>
  </cols>
  <sheetData>
    <row r="4" spans="2:16" x14ac:dyDescent="0.65">
      <c r="B4" s="549"/>
      <c r="C4" s="549" t="s">
        <v>638</v>
      </c>
      <c r="D4" s="549" t="s">
        <v>662</v>
      </c>
      <c r="P4" s="550" t="s">
        <v>661</v>
      </c>
    </row>
    <row r="5" spans="2:16" x14ac:dyDescent="0.65">
      <c r="B5" s="551">
        <v>38883</v>
      </c>
      <c r="C5" s="552">
        <v>68.56</v>
      </c>
      <c r="D5" s="36">
        <f>42*P5</f>
        <v>88.536000000000001</v>
      </c>
      <c r="P5" s="550">
        <v>2.1080000000000001</v>
      </c>
    </row>
    <row r="6" spans="2:16" x14ac:dyDescent="0.65">
      <c r="B6" s="551">
        <v>38913</v>
      </c>
      <c r="C6" s="552">
        <v>73.67</v>
      </c>
      <c r="D6" s="36">
        <f t="shared" ref="D6:D69" si="0">42*P6</f>
        <v>93.701999999999998</v>
      </c>
      <c r="P6" s="550">
        <v>2.2309999999999999</v>
      </c>
    </row>
    <row r="7" spans="2:16" x14ac:dyDescent="0.65">
      <c r="B7" s="551">
        <v>38944</v>
      </c>
      <c r="C7" s="552">
        <v>73.23</v>
      </c>
      <c r="D7" s="36">
        <f t="shared" si="0"/>
        <v>93.786000000000001</v>
      </c>
      <c r="P7" s="550">
        <v>2.2330000000000001</v>
      </c>
    </row>
    <row r="8" spans="2:16" x14ac:dyDescent="0.65">
      <c r="B8" s="551">
        <v>38975</v>
      </c>
      <c r="C8" s="552">
        <v>61.96</v>
      </c>
      <c r="D8" s="36">
        <f t="shared" si="0"/>
        <v>75.137999999999991</v>
      </c>
      <c r="P8" s="550">
        <v>1.7889999999999999</v>
      </c>
    </row>
    <row r="9" spans="2:16" x14ac:dyDescent="0.65">
      <c r="B9" s="551">
        <v>39005</v>
      </c>
      <c r="C9" s="552">
        <v>57.81</v>
      </c>
      <c r="D9" s="36">
        <f t="shared" si="0"/>
        <v>74.927999999999997</v>
      </c>
      <c r="P9" s="550">
        <v>1.784</v>
      </c>
    </row>
    <row r="10" spans="2:16" x14ac:dyDescent="0.65">
      <c r="B10" s="551">
        <v>39036</v>
      </c>
      <c r="C10" s="552">
        <v>58.76</v>
      </c>
      <c r="D10" s="36">
        <f t="shared" si="0"/>
        <v>75.474000000000004</v>
      </c>
      <c r="P10" s="550">
        <v>1.7969999999999999</v>
      </c>
    </row>
    <row r="11" spans="2:16" x14ac:dyDescent="0.65">
      <c r="B11" s="551">
        <v>39066</v>
      </c>
      <c r="C11" s="552">
        <v>62.47</v>
      </c>
      <c r="D11" s="36">
        <f t="shared" si="0"/>
        <v>75.221999999999994</v>
      </c>
      <c r="P11" s="550">
        <v>1.7909999999999999</v>
      </c>
    </row>
    <row r="12" spans="2:16" x14ac:dyDescent="0.65">
      <c r="B12" s="551">
        <v>39097</v>
      </c>
      <c r="C12" s="552">
        <v>53.68</v>
      </c>
      <c r="D12" s="36">
        <f t="shared" si="0"/>
        <v>68.837999999999994</v>
      </c>
      <c r="P12" s="550">
        <v>1.639</v>
      </c>
    </row>
    <row r="13" spans="2:16" x14ac:dyDescent="0.65">
      <c r="B13" s="551">
        <v>39128</v>
      </c>
      <c r="C13" s="552">
        <v>57.56</v>
      </c>
      <c r="D13" s="36">
        <f t="shared" si="0"/>
        <v>74.634</v>
      </c>
      <c r="P13" s="550">
        <v>1.7769999999999999</v>
      </c>
    </row>
    <row r="14" spans="2:16" x14ac:dyDescent="0.65">
      <c r="B14" s="551">
        <v>39156</v>
      </c>
      <c r="C14" s="552">
        <v>62.05</v>
      </c>
      <c r="D14" s="36">
        <f t="shared" si="0"/>
        <v>82.74</v>
      </c>
      <c r="P14" s="550">
        <v>1.97</v>
      </c>
    </row>
    <row r="15" spans="2:16" x14ac:dyDescent="0.65">
      <c r="B15" s="551">
        <v>39187</v>
      </c>
      <c r="C15" s="552">
        <v>67.489999999999995</v>
      </c>
      <c r="D15" s="36">
        <f t="shared" si="0"/>
        <v>87.864000000000004</v>
      </c>
      <c r="P15" s="550">
        <v>2.0920000000000001</v>
      </c>
    </row>
    <row r="16" spans="2:16" x14ac:dyDescent="0.65">
      <c r="B16" s="551">
        <v>39217</v>
      </c>
      <c r="C16" s="552">
        <v>67.209999999999994</v>
      </c>
      <c r="D16" s="36">
        <f t="shared" si="0"/>
        <v>85.89</v>
      </c>
      <c r="P16" s="550">
        <v>2.0449999999999999</v>
      </c>
    </row>
    <row r="17" spans="2:16" x14ac:dyDescent="0.65">
      <c r="B17" s="551">
        <v>39248</v>
      </c>
      <c r="C17" s="552">
        <v>71.05</v>
      </c>
      <c r="D17" s="36">
        <f t="shared" si="0"/>
        <v>87.906000000000006</v>
      </c>
      <c r="P17" s="550">
        <v>2.093</v>
      </c>
    </row>
    <row r="18" spans="2:16" x14ac:dyDescent="0.65">
      <c r="B18" s="551">
        <v>39278</v>
      </c>
      <c r="C18" s="552">
        <v>76.930000000000007</v>
      </c>
      <c r="D18" s="36">
        <f t="shared" si="0"/>
        <v>90.048000000000002</v>
      </c>
      <c r="P18" s="550">
        <v>2.1440000000000001</v>
      </c>
    </row>
    <row r="19" spans="2:16" x14ac:dyDescent="0.65">
      <c r="B19" s="551">
        <v>39309</v>
      </c>
      <c r="C19" s="552">
        <v>70.760000000000005</v>
      </c>
      <c r="D19" s="36">
        <f t="shared" si="0"/>
        <v>88.872</v>
      </c>
      <c r="P19" s="550">
        <v>2.1160000000000001</v>
      </c>
    </row>
    <row r="20" spans="2:16" x14ac:dyDescent="0.65">
      <c r="B20" s="551">
        <v>39340</v>
      </c>
      <c r="C20" s="552">
        <v>77.17</v>
      </c>
      <c r="D20" s="36">
        <f t="shared" si="0"/>
        <v>96.347999999999999</v>
      </c>
      <c r="P20" s="550">
        <v>2.294</v>
      </c>
    </row>
    <row r="21" spans="2:16" x14ac:dyDescent="0.65">
      <c r="B21" s="551">
        <v>39370</v>
      </c>
      <c r="C21" s="552">
        <v>82.34</v>
      </c>
      <c r="D21" s="36">
        <f t="shared" si="0"/>
        <v>99.162000000000006</v>
      </c>
      <c r="P21" s="550">
        <v>2.3610000000000002</v>
      </c>
    </row>
    <row r="22" spans="2:16" x14ac:dyDescent="0.65">
      <c r="B22" s="551">
        <v>39401</v>
      </c>
      <c r="C22" s="552">
        <v>92.41</v>
      </c>
      <c r="D22" s="36">
        <f t="shared" si="0"/>
        <v>111.59399999999999</v>
      </c>
      <c r="P22" s="550">
        <v>2.657</v>
      </c>
    </row>
    <row r="23" spans="2:16" x14ac:dyDescent="0.65">
      <c r="B23" s="551">
        <v>39431</v>
      </c>
      <c r="C23" s="552">
        <v>90.93</v>
      </c>
      <c r="D23" s="36">
        <f t="shared" si="0"/>
        <v>107.562</v>
      </c>
      <c r="P23" s="550">
        <v>2.5609999999999999</v>
      </c>
    </row>
    <row r="24" spans="2:16" x14ac:dyDescent="0.65">
      <c r="B24" s="551">
        <v>39462</v>
      </c>
      <c r="C24" s="552">
        <v>92.18</v>
      </c>
      <c r="D24" s="36">
        <f t="shared" si="0"/>
        <v>107.14200000000001</v>
      </c>
      <c r="P24" s="550">
        <v>2.5510000000000002</v>
      </c>
    </row>
    <row r="25" spans="2:16" x14ac:dyDescent="0.65">
      <c r="B25" s="551">
        <v>39493</v>
      </c>
      <c r="C25" s="552">
        <v>94.99</v>
      </c>
      <c r="D25" s="36">
        <f t="shared" si="0"/>
        <v>115.458</v>
      </c>
      <c r="P25" s="550">
        <v>2.7490000000000001</v>
      </c>
    </row>
    <row r="26" spans="2:16" x14ac:dyDescent="0.65">
      <c r="B26" s="551">
        <v>39522</v>
      </c>
      <c r="C26" s="552">
        <v>103.64</v>
      </c>
      <c r="D26" s="36">
        <f t="shared" si="0"/>
        <v>132.42599999999999</v>
      </c>
      <c r="P26" s="550">
        <v>3.153</v>
      </c>
    </row>
    <row r="27" spans="2:16" x14ac:dyDescent="0.65">
      <c r="B27" s="551">
        <v>39553</v>
      </c>
      <c r="C27" s="552">
        <v>109.07</v>
      </c>
      <c r="D27" s="36">
        <f t="shared" si="0"/>
        <v>140.57400000000001</v>
      </c>
      <c r="P27" s="550">
        <v>3.347</v>
      </c>
    </row>
    <row r="28" spans="2:16" x14ac:dyDescent="0.65">
      <c r="B28" s="551">
        <v>39583</v>
      </c>
      <c r="C28" s="552">
        <v>122.8</v>
      </c>
      <c r="D28" s="36">
        <f t="shared" si="0"/>
        <v>156.786</v>
      </c>
      <c r="P28" s="550">
        <v>3.7330000000000001</v>
      </c>
    </row>
    <row r="29" spans="2:16" x14ac:dyDescent="0.65">
      <c r="B29" s="551">
        <v>39614</v>
      </c>
      <c r="C29" s="552">
        <v>132.32</v>
      </c>
      <c r="D29" s="36">
        <f t="shared" si="0"/>
        <v>161.74199999999999</v>
      </c>
      <c r="P29" s="550">
        <v>3.851</v>
      </c>
    </row>
    <row r="30" spans="2:16" x14ac:dyDescent="0.65">
      <c r="B30" s="551">
        <v>39644</v>
      </c>
      <c r="C30" s="552">
        <v>132.72</v>
      </c>
      <c r="D30" s="36">
        <f t="shared" si="0"/>
        <v>160.27199999999999</v>
      </c>
      <c r="P30" s="550">
        <v>3.8159999999999998</v>
      </c>
    </row>
    <row r="31" spans="2:16" x14ac:dyDescent="0.65">
      <c r="B31" s="551">
        <v>39675</v>
      </c>
      <c r="C31" s="552">
        <v>113.24</v>
      </c>
      <c r="D31" s="36">
        <f t="shared" si="0"/>
        <v>136.12200000000001</v>
      </c>
      <c r="P31" s="550">
        <v>3.2410000000000001</v>
      </c>
    </row>
    <row r="32" spans="2:16" x14ac:dyDescent="0.65">
      <c r="B32" s="551">
        <v>39706</v>
      </c>
      <c r="C32" s="552">
        <v>97.23</v>
      </c>
      <c r="D32" s="36">
        <f t="shared" si="0"/>
        <v>129.19200000000001</v>
      </c>
      <c r="P32" s="550">
        <v>3.0760000000000001</v>
      </c>
    </row>
    <row r="33" spans="2:16" x14ac:dyDescent="0.65">
      <c r="B33" s="551">
        <v>39736</v>
      </c>
      <c r="C33" s="552">
        <v>71.58</v>
      </c>
      <c r="D33" s="36">
        <f t="shared" si="0"/>
        <v>97.103999999999999</v>
      </c>
      <c r="P33" s="550">
        <v>2.3119999999999998</v>
      </c>
    </row>
    <row r="34" spans="2:16" x14ac:dyDescent="0.65">
      <c r="B34" s="551">
        <v>39767</v>
      </c>
      <c r="C34" s="552">
        <v>52.45</v>
      </c>
      <c r="D34" s="36">
        <f t="shared" si="0"/>
        <v>77.406000000000006</v>
      </c>
      <c r="P34" s="550">
        <v>1.843</v>
      </c>
    </row>
    <row r="35" spans="2:16" x14ac:dyDescent="0.65">
      <c r="B35" s="551">
        <v>39797</v>
      </c>
      <c r="C35" s="552">
        <v>39.950000000000003</v>
      </c>
      <c r="D35" s="36">
        <f t="shared" si="0"/>
        <v>57.624000000000002</v>
      </c>
      <c r="P35" s="550">
        <v>1.3720000000000001</v>
      </c>
    </row>
    <row r="36" spans="2:16" x14ac:dyDescent="0.65">
      <c r="B36" s="551">
        <v>39828</v>
      </c>
      <c r="C36" s="552">
        <v>43.44</v>
      </c>
      <c r="D36" s="36">
        <f t="shared" si="0"/>
        <v>59.891999999999996</v>
      </c>
      <c r="P36" s="550">
        <v>1.4259999999999999</v>
      </c>
    </row>
    <row r="37" spans="2:16" x14ac:dyDescent="0.65">
      <c r="B37" s="551">
        <v>39859</v>
      </c>
      <c r="C37" s="552">
        <v>43.32</v>
      </c>
      <c r="D37" s="36">
        <f t="shared" si="0"/>
        <v>52.835999999999999</v>
      </c>
      <c r="P37" s="550">
        <v>1.258</v>
      </c>
    </row>
    <row r="38" spans="2:16" x14ac:dyDescent="0.65">
      <c r="B38" s="551">
        <v>39887</v>
      </c>
      <c r="C38" s="552">
        <v>46.54</v>
      </c>
      <c r="D38" s="36">
        <f t="shared" si="0"/>
        <v>54.264000000000003</v>
      </c>
      <c r="P38" s="550">
        <v>1.292</v>
      </c>
    </row>
    <row r="39" spans="2:16" x14ac:dyDescent="0.65">
      <c r="B39" s="551">
        <v>39918</v>
      </c>
      <c r="C39" s="552">
        <v>50.18</v>
      </c>
      <c r="D39" s="36">
        <f t="shared" si="0"/>
        <v>58.631999999999998</v>
      </c>
      <c r="P39" s="550">
        <v>1.3959999999999999</v>
      </c>
    </row>
    <row r="40" spans="2:16" x14ac:dyDescent="0.65">
      <c r="B40" s="551">
        <v>39948</v>
      </c>
      <c r="C40" s="552">
        <v>57.3</v>
      </c>
      <c r="D40" s="36">
        <f t="shared" si="0"/>
        <v>62.538000000000004</v>
      </c>
      <c r="P40" s="550">
        <v>1.4890000000000001</v>
      </c>
    </row>
    <row r="41" spans="2:16" x14ac:dyDescent="0.65">
      <c r="B41" s="551">
        <v>39979</v>
      </c>
      <c r="C41" s="552">
        <v>68.61</v>
      </c>
      <c r="D41" s="36">
        <f t="shared" si="0"/>
        <v>75.683999999999997</v>
      </c>
      <c r="P41" s="550">
        <v>1.802</v>
      </c>
    </row>
    <row r="42" spans="2:16" x14ac:dyDescent="0.65">
      <c r="B42" s="551">
        <v>40009</v>
      </c>
      <c r="C42" s="552">
        <v>64.44</v>
      </c>
      <c r="D42" s="36">
        <f t="shared" si="0"/>
        <v>71.19</v>
      </c>
      <c r="P42" s="550">
        <v>1.6950000000000001</v>
      </c>
    </row>
    <row r="43" spans="2:16" x14ac:dyDescent="0.65">
      <c r="B43" s="551">
        <v>40040</v>
      </c>
      <c r="C43" s="552">
        <v>72.510000000000005</v>
      </c>
      <c r="D43" s="36">
        <f t="shared" si="0"/>
        <v>79.8</v>
      </c>
      <c r="P43" s="550">
        <v>1.9</v>
      </c>
    </row>
    <row r="44" spans="2:16" x14ac:dyDescent="0.65">
      <c r="B44" s="551">
        <v>40071</v>
      </c>
      <c r="C44" s="552">
        <v>67.650000000000006</v>
      </c>
      <c r="D44" s="36">
        <f t="shared" si="0"/>
        <v>74.465999999999994</v>
      </c>
      <c r="P44" s="550">
        <v>1.7729999999999999</v>
      </c>
    </row>
    <row r="45" spans="2:16" x14ac:dyDescent="0.65">
      <c r="B45" s="551">
        <v>40101</v>
      </c>
      <c r="C45" s="552">
        <v>72.77</v>
      </c>
      <c r="D45" s="36">
        <f t="shared" si="0"/>
        <v>81.522000000000006</v>
      </c>
      <c r="P45" s="550">
        <v>1.9410000000000001</v>
      </c>
    </row>
    <row r="46" spans="2:16" x14ac:dyDescent="0.65">
      <c r="B46" s="551">
        <v>40132</v>
      </c>
      <c r="C46" s="552">
        <v>76.66</v>
      </c>
      <c r="D46" s="36">
        <f t="shared" si="0"/>
        <v>83.16</v>
      </c>
      <c r="P46" s="550">
        <v>1.98</v>
      </c>
    </row>
    <row r="47" spans="2:16" x14ac:dyDescent="0.65">
      <c r="B47" s="551">
        <v>40162</v>
      </c>
      <c r="C47" s="552">
        <v>74.459999999999994</v>
      </c>
      <c r="D47" s="36">
        <f t="shared" si="0"/>
        <v>82.278000000000006</v>
      </c>
      <c r="P47" s="550">
        <v>1.9590000000000001</v>
      </c>
    </row>
    <row r="48" spans="2:16" x14ac:dyDescent="0.65">
      <c r="B48" s="551">
        <v>40193</v>
      </c>
      <c r="C48" s="552">
        <v>76.17</v>
      </c>
      <c r="D48" s="36">
        <f t="shared" si="0"/>
        <v>85.47</v>
      </c>
      <c r="P48" s="550">
        <v>2.0350000000000001</v>
      </c>
    </row>
    <row r="49" spans="2:16" x14ac:dyDescent="0.65">
      <c r="B49" s="551">
        <v>40224</v>
      </c>
      <c r="C49" s="552">
        <v>73.75</v>
      </c>
      <c r="D49" s="36">
        <f t="shared" si="0"/>
        <v>83.915999999999997</v>
      </c>
      <c r="P49" s="550">
        <v>1.998</v>
      </c>
    </row>
    <row r="50" spans="2:16" x14ac:dyDescent="0.65">
      <c r="B50" s="551">
        <v>40252</v>
      </c>
      <c r="C50" s="552">
        <v>78.83</v>
      </c>
      <c r="D50" s="36">
        <f t="shared" si="0"/>
        <v>89.25</v>
      </c>
      <c r="P50" s="550">
        <v>2.125</v>
      </c>
    </row>
    <row r="51" spans="2:16" x14ac:dyDescent="0.65">
      <c r="B51" s="551">
        <v>40283</v>
      </c>
      <c r="C51" s="552">
        <v>84.82</v>
      </c>
      <c r="D51" s="36">
        <f t="shared" si="0"/>
        <v>95.213999999999999</v>
      </c>
      <c r="P51" s="550">
        <v>2.2669999999999999</v>
      </c>
    </row>
    <row r="52" spans="2:16" x14ac:dyDescent="0.65">
      <c r="B52" s="551">
        <v>40313</v>
      </c>
      <c r="C52" s="552">
        <v>75.95</v>
      </c>
      <c r="D52" s="36">
        <f t="shared" si="0"/>
        <v>87.906000000000006</v>
      </c>
      <c r="P52" s="550">
        <v>2.093</v>
      </c>
    </row>
    <row r="53" spans="2:16" x14ac:dyDescent="0.65">
      <c r="B53" s="551">
        <v>40344</v>
      </c>
      <c r="C53" s="552">
        <v>74.760000000000005</v>
      </c>
      <c r="D53" s="36">
        <f t="shared" si="0"/>
        <v>86.771999999999991</v>
      </c>
      <c r="P53" s="550">
        <v>2.0659999999999998</v>
      </c>
    </row>
    <row r="54" spans="2:16" x14ac:dyDescent="0.65">
      <c r="B54" s="551">
        <v>40374</v>
      </c>
      <c r="C54" s="552">
        <v>75.58</v>
      </c>
      <c r="D54" s="36">
        <f t="shared" si="0"/>
        <v>85.763999999999996</v>
      </c>
      <c r="P54" s="550">
        <v>2.0419999999999998</v>
      </c>
    </row>
    <row r="55" spans="2:16" x14ac:dyDescent="0.65">
      <c r="B55" s="551">
        <v>40405</v>
      </c>
      <c r="C55" s="552">
        <v>77.040000000000006</v>
      </c>
      <c r="D55" s="36">
        <f t="shared" si="0"/>
        <v>87.906000000000006</v>
      </c>
      <c r="P55" s="550">
        <v>2.093</v>
      </c>
    </row>
    <row r="56" spans="2:16" x14ac:dyDescent="0.65">
      <c r="B56" s="551">
        <v>40436</v>
      </c>
      <c r="C56" s="552">
        <v>77.84</v>
      </c>
      <c r="D56" s="36">
        <f t="shared" si="0"/>
        <v>89.46</v>
      </c>
      <c r="P56" s="550">
        <v>2.13</v>
      </c>
    </row>
    <row r="57" spans="2:16" x14ac:dyDescent="0.65">
      <c r="B57" s="551">
        <v>40466</v>
      </c>
      <c r="C57" s="552">
        <v>82.67</v>
      </c>
      <c r="D57" s="36">
        <f t="shared" si="0"/>
        <v>94.583999999999989</v>
      </c>
      <c r="P57" s="550">
        <v>2.2519999999999998</v>
      </c>
    </row>
    <row r="58" spans="2:16" x14ac:dyDescent="0.65">
      <c r="B58" s="551">
        <v>40497</v>
      </c>
      <c r="C58" s="552">
        <v>85.28</v>
      </c>
      <c r="D58" s="36">
        <f t="shared" si="0"/>
        <v>97.60799999999999</v>
      </c>
      <c r="P58" s="550">
        <v>2.3239999999999998</v>
      </c>
    </row>
    <row r="59" spans="2:16" x14ac:dyDescent="0.65">
      <c r="B59" s="551">
        <v>40527</v>
      </c>
      <c r="C59" s="552">
        <v>91.45</v>
      </c>
      <c r="D59" s="36">
        <f t="shared" si="0"/>
        <v>102.73200000000001</v>
      </c>
      <c r="P59" s="550">
        <v>2.4460000000000002</v>
      </c>
    </row>
    <row r="60" spans="2:16" x14ac:dyDescent="0.65">
      <c r="B60" s="551">
        <v>40558</v>
      </c>
      <c r="C60" s="552">
        <v>96.52</v>
      </c>
      <c r="D60" s="36">
        <f t="shared" si="0"/>
        <v>109.242</v>
      </c>
      <c r="P60" s="550">
        <v>2.601</v>
      </c>
    </row>
    <row r="61" spans="2:16" x14ac:dyDescent="0.65">
      <c r="B61" s="551">
        <v>40589</v>
      </c>
      <c r="C61" s="552">
        <v>103.72</v>
      </c>
      <c r="D61" s="36">
        <f t="shared" si="0"/>
        <v>117.30600000000001</v>
      </c>
      <c r="P61" s="550">
        <v>2.7930000000000001</v>
      </c>
    </row>
    <row r="62" spans="2:16" x14ac:dyDescent="0.65">
      <c r="B62" s="551">
        <v>40617</v>
      </c>
      <c r="C62" s="552">
        <v>114.64</v>
      </c>
      <c r="D62" s="36">
        <f t="shared" si="0"/>
        <v>129.40199999999999</v>
      </c>
      <c r="P62" s="550">
        <v>3.081</v>
      </c>
    </row>
    <row r="63" spans="2:16" x14ac:dyDescent="0.65">
      <c r="B63" s="551">
        <v>40648</v>
      </c>
      <c r="C63" s="552">
        <v>123.26</v>
      </c>
      <c r="D63" s="36">
        <f t="shared" si="0"/>
        <v>135.702</v>
      </c>
      <c r="P63" s="550">
        <v>3.2309999999999999</v>
      </c>
    </row>
    <row r="64" spans="2:16" x14ac:dyDescent="0.65">
      <c r="B64" s="551">
        <v>40678</v>
      </c>
      <c r="C64" s="552">
        <v>114.99</v>
      </c>
      <c r="D64" s="36">
        <f t="shared" si="0"/>
        <v>126.042</v>
      </c>
      <c r="P64" s="550">
        <v>3.0009999999999999</v>
      </c>
    </row>
    <row r="65" spans="2:16" x14ac:dyDescent="0.65">
      <c r="B65" s="551">
        <v>40709</v>
      </c>
      <c r="C65" s="552">
        <v>113.83</v>
      </c>
      <c r="D65" s="36">
        <f t="shared" si="0"/>
        <v>126.63000000000001</v>
      </c>
      <c r="P65" s="550">
        <v>3.0150000000000001</v>
      </c>
    </row>
    <row r="66" spans="2:16" x14ac:dyDescent="0.65">
      <c r="B66" s="551">
        <v>40739</v>
      </c>
      <c r="C66" s="552">
        <v>116.97</v>
      </c>
      <c r="D66" s="36">
        <f t="shared" si="0"/>
        <v>130.91399999999999</v>
      </c>
      <c r="P66" s="550">
        <v>3.117</v>
      </c>
    </row>
    <row r="67" spans="2:16" x14ac:dyDescent="0.65">
      <c r="B67" s="551">
        <v>40770</v>
      </c>
      <c r="C67" s="552">
        <v>110.22</v>
      </c>
      <c r="D67" s="36">
        <f t="shared" si="0"/>
        <v>124.90800000000002</v>
      </c>
      <c r="P67" s="550">
        <v>2.9740000000000002</v>
      </c>
    </row>
    <row r="68" spans="2:16" x14ac:dyDescent="0.65">
      <c r="B68" s="551">
        <v>40801</v>
      </c>
      <c r="C68" s="552">
        <v>112.83</v>
      </c>
      <c r="D68" s="36">
        <f t="shared" si="0"/>
        <v>123.354</v>
      </c>
      <c r="P68" s="550">
        <v>2.9369999999999998</v>
      </c>
    </row>
    <row r="69" spans="2:16" x14ac:dyDescent="0.65">
      <c r="B69" s="551">
        <v>40831</v>
      </c>
      <c r="C69" s="552">
        <v>109.55</v>
      </c>
      <c r="D69" s="36">
        <f t="shared" si="0"/>
        <v>124.32</v>
      </c>
      <c r="P69" s="550">
        <v>2.96</v>
      </c>
    </row>
    <row r="70" spans="2:16" x14ac:dyDescent="0.65">
      <c r="B70" s="551">
        <v>40862</v>
      </c>
      <c r="C70" s="552">
        <v>110.77</v>
      </c>
      <c r="D70" s="36">
        <f t="shared" ref="D70:D133" si="1">42*P70</f>
        <v>127.93199999999999</v>
      </c>
      <c r="P70" s="550">
        <v>3.0459999999999998</v>
      </c>
    </row>
    <row r="71" spans="2:16" x14ac:dyDescent="0.65">
      <c r="B71" s="551">
        <v>40892</v>
      </c>
      <c r="C71" s="552">
        <v>107.87</v>
      </c>
      <c r="D71" s="36">
        <f t="shared" si="1"/>
        <v>120.876</v>
      </c>
      <c r="P71" s="550">
        <v>2.8780000000000001</v>
      </c>
    </row>
    <row r="72" spans="2:16" x14ac:dyDescent="0.65">
      <c r="B72" s="551">
        <v>40923</v>
      </c>
      <c r="C72" s="552">
        <v>110.69</v>
      </c>
      <c r="D72" s="36">
        <f t="shared" si="1"/>
        <v>127.428</v>
      </c>
      <c r="P72" s="550">
        <v>3.0339999999999998</v>
      </c>
    </row>
    <row r="73" spans="2:16" x14ac:dyDescent="0.65">
      <c r="B73" s="551">
        <v>40954</v>
      </c>
      <c r="C73" s="552">
        <v>119.33</v>
      </c>
      <c r="D73" s="36">
        <f t="shared" si="1"/>
        <v>133.476</v>
      </c>
      <c r="P73" s="550">
        <v>3.1779999999999999</v>
      </c>
    </row>
    <row r="74" spans="2:16" x14ac:dyDescent="0.65">
      <c r="B74" s="551">
        <v>40983</v>
      </c>
      <c r="C74" s="552">
        <v>125.45</v>
      </c>
      <c r="D74" s="36">
        <f t="shared" si="1"/>
        <v>137.34</v>
      </c>
      <c r="P74" s="550">
        <v>3.27</v>
      </c>
    </row>
    <row r="75" spans="2:16" x14ac:dyDescent="0.65">
      <c r="B75" s="551">
        <v>41014</v>
      </c>
      <c r="C75" s="552">
        <v>119.75</v>
      </c>
      <c r="D75" s="36">
        <f t="shared" si="1"/>
        <v>135.114</v>
      </c>
      <c r="P75" s="550">
        <v>3.2170000000000001</v>
      </c>
    </row>
    <row r="76" spans="2:16" x14ac:dyDescent="0.65">
      <c r="B76" s="551">
        <v>41044</v>
      </c>
      <c r="C76" s="552">
        <v>110.34</v>
      </c>
      <c r="D76" s="36">
        <f t="shared" si="1"/>
        <v>123.774</v>
      </c>
      <c r="P76" s="550">
        <v>2.9470000000000001</v>
      </c>
    </row>
    <row r="77" spans="2:16" x14ac:dyDescent="0.65">
      <c r="B77" s="551">
        <v>41075</v>
      </c>
      <c r="C77" s="552">
        <v>95.16</v>
      </c>
      <c r="D77" s="36">
        <f t="shared" si="1"/>
        <v>112.014</v>
      </c>
      <c r="P77" s="550">
        <v>2.6669999999999998</v>
      </c>
    </row>
    <row r="78" spans="2:16" x14ac:dyDescent="0.65">
      <c r="B78" s="551">
        <v>41105</v>
      </c>
      <c r="C78" s="552">
        <v>102.62</v>
      </c>
      <c r="D78" s="36">
        <f t="shared" si="1"/>
        <v>120.91800000000001</v>
      </c>
      <c r="P78" s="550">
        <v>2.879</v>
      </c>
    </row>
    <row r="79" spans="2:16" x14ac:dyDescent="0.65">
      <c r="B79" s="551">
        <v>41136</v>
      </c>
      <c r="C79" s="552">
        <v>113.36</v>
      </c>
      <c r="D79" s="36">
        <f t="shared" si="1"/>
        <v>132.006</v>
      </c>
      <c r="P79" s="550">
        <v>3.1429999999999998</v>
      </c>
    </row>
    <row r="80" spans="2:16" x14ac:dyDescent="0.65">
      <c r="B80" s="551">
        <v>41167</v>
      </c>
      <c r="C80" s="552">
        <v>112.86</v>
      </c>
      <c r="D80" s="36">
        <f t="shared" si="1"/>
        <v>133.81200000000001</v>
      </c>
      <c r="P80" s="550">
        <v>3.1859999999999999</v>
      </c>
    </row>
    <row r="81" spans="2:16" x14ac:dyDescent="0.65">
      <c r="B81" s="551">
        <v>41197</v>
      </c>
      <c r="C81" s="552">
        <v>111.71</v>
      </c>
      <c r="D81" s="36">
        <f t="shared" si="1"/>
        <v>132.59399999999999</v>
      </c>
      <c r="P81" s="550">
        <v>3.157</v>
      </c>
    </row>
    <row r="82" spans="2:16" x14ac:dyDescent="0.65">
      <c r="B82" s="551">
        <v>41228</v>
      </c>
      <c r="C82" s="552">
        <v>109.06</v>
      </c>
      <c r="D82" s="36">
        <f t="shared" si="1"/>
        <v>125.874</v>
      </c>
      <c r="P82" s="550">
        <v>2.9969999999999999</v>
      </c>
    </row>
    <row r="83" spans="2:16" x14ac:dyDescent="0.65">
      <c r="B83" s="551">
        <v>41258</v>
      </c>
      <c r="C83" s="552">
        <v>109.49</v>
      </c>
      <c r="D83" s="36">
        <f t="shared" si="1"/>
        <v>124.32</v>
      </c>
      <c r="P83" s="550">
        <v>2.96</v>
      </c>
    </row>
    <row r="84" spans="2:16" x14ac:dyDescent="0.65">
      <c r="B84" s="551">
        <v>41289</v>
      </c>
      <c r="C84" s="552">
        <v>112.96</v>
      </c>
      <c r="D84" s="36">
        <f t="shared" si="1"/>
        <v>127.848</v>
      </c>
      <c r="P84" s="550">
        <v>3.044</v>
      </c>
    </row>
    <row r="85" spans="2:16" x14ac:dyDescent="0.65">
      <c r="B85" s="551">
        <v>41320</v>
      </c>
      <c r="C85" s="552">
        <v>116.05</v>
      </c>
      <c r="D85" s="36">
        <f t="shared" si="1"/>
        <v>134.4</v>
      </c>
      <c r="P85" s="550">
        <v>3.2</v>
      </c>
    </row>
    <row r="86" spans="2:16" x14ac:dyDescent="0.65">
      <c r="B86" s="551">
        <v>41348</v>
      </c>
      <c r="C86" s="552">
        <v>108.47</v>
      </c>
      <c r="D86" s="36">
        <f t="shared" si="1"/>
        <v>126.29400000000001</v>
      </c>
      <c r="P86" s="550">
        <v>3.0070000000000001</v>
      </c>
    </row>
    <row r="87" spans="2:16" x14ac:dyDescent="0.65">
      <c r="B87" s="551">
        <v>41379</v>
      </c>
      <c r="C87" s="552">
        <v>102.25</v>
      </c>
      <c r="D87" s="36">
        <f t="shared" si="1"/>
        <v>120.91800000000001</v>
      </c>
      <c r="P87" s="550">
        <v>2.879</v>
      </c>
    </row>
    <row r="88" spans="2:16" x14ac:dyDescent="0.65">
      <c r="B88" s="551">
        <v>41409</v>
      </c>
      <c r="C88" s="552">
        <v>102.56</v>
      </c>
      <c r="D88" s="36">
        <f t="shared" si="1"/>
        <v>119.40600000000001</v>
      </c>
      <c r="P88" s="550">
        <v>2.843</v>
      </c>
    </row>
    <row r="89" spans="2:16" x14ac:dyDescent="0.65">
      <c r="B89" s="551">
        <v>41440</v>
      </c>
      <c r="C89" s="552">
        <v>102.92</v>
      </c>
      <c r="D89" s="36">
        <f t="shared" si="1"/>
        <v>120.16200000000001</v>
      </c>
      <c r="P89" s="550">
        <v>2.8610000000000002</v>
      </c>
    </row>
    <row r="90" spans="2:16" x14ac:dyDescent="0.65">
      <c r="B90" s="551">
        <v>41470</v>
      </c>
      <c r="C90" s="552">
        <v>107.93</v>
      </c>
      <c r="D90" s="36">
        <f t="shared" si="1"/>
        <v>125.202</v>
      </c>
      <c r="P90" s="550">
        <v>2.9809999999999999</v>
      </c>
    </row>
    <row r="91" spans="2:16" x14ac:dyDescent="0.65">
      <c r="B91" s="551">
        <v>41501</v>
      </c>
      <c r="C91" s="552">
        <v>111.28</v>
      </c>
      <c r="D91" s="36">
        <f t="shared" si="1"/>
        <v>127.68</v>
      </c>
      <c r="P91" s="550">
        <v>3.04</v>
      </c>
    </row>
    <row r="92" spans="2:16" x14ac:dyDescent="0.65">
      <c r="B92" s="551">
        <v>41532</v>
      </c>
      <c r="C92" s="552">
        <v>111.6</v>
      </c>
      <c r="D92" s="36">
        <f t="shared" si="1"/>
        <v>126.58799999999999</v>
      </c>
      <c r="P92" s="550">
        <v>3.0139999999999998</v>
      </c>
    </row>
    <row r="93" spans="2:16" x14ac:dyDescent="0.65">
      <c r="B93" s="551">
        <v>41562</v>
      </c>
      <c r="C93" s="552">
        <v>109.08</v>
      </c>
      <c r="D93" s="36">
        <f t="shared" si="1"/>
        <v>123.27</v>
      </c>
      <c r="P93" s="550">
        <v>2.9350000000000001</v>
      </c>
    </row>
    <row r="94" spans="2:16" x14ac:dyDescent="0.65">
      <c r="B94" s="551">
        <v>41593</v>
      </c>
      <c r="C94" s="552">
        <v>107.79</v>
      </c>
      <c r="D94" s="36">
        <f t="shared" si="1"/>
        <v>119.99400000000001</v>
      </c>
      <c r="P94" s="550">
        <v>2.8570000000000002</v>
      </c>
    </row>
    <row r="95" spans="2:16" x14ac:dyDescent="0.65">
      <c r="B95" s="551">
        <v>41623</v>
      </c>
      <c r="C95" s="552">
        <v>110.76</v>
      </c>
      <c r="D95" s="36">
        <f t="shared" si="1"/>
        <v>124.026</v>
      </c>
      <c r="P95" s="550">
        <v>2.9529999999999998</v>
      </c>
    </row>
    <row r="96" spans="2:16" x14ac:dyDescent="0.65">
      <c r="B96" s="551">
        <v>41654</v>
      </c>
      <c r="C96" s="552">
        <v>108.12</v>
      </c>
      <c r="D96" s="36">
        <f t="shared" si="1"/>
        <v>122.34599999999999</v>
      </c>
      <c r="P96" s="550">
        <v>2.9129999999999998</v>
      </c>
    </row>
    <row r="97" spans="2:16" x14ac:dyDescent="0.65">
      <c r="B97" s="551">
        <v>41685</v>
      </c>
      <c r="C97" s="552">
        <v>108.9</v>
      </c>
      <c r="D97" s="36">
        <f t="shared" si="1"/>
        <v>124.866</v>
      </c>
      <c r="P97" s="550">
        <v>2.9729999999999999</v>
      </c>
    </row>
    <row r="98" spans="2:16" x14ac:dyDescent="0.65">
      <c r="B98" s="551">
        <v>41713</v>
      </c>
      <c r="C98" s="552">
        <v>107.48</v>
      </c>
      <c r="D98" s="36">
        <f t="shared" si="1"/>
        <v>122.514</v>
      </c>
      <c r="P98" s="550">
        <v>2.9169999999999998</v>
      </c>
    </row>
    <row r="99" spans="2:16" x14ac:dyDescent="0.65">
      <c r="B99" s="551">
        <v>41744</v>
      </c>
      <c r="C99" s="552">
        <v>107.76</v>
      </c>
      <c r="D99" s="36">
        <f t="shared" si="1"/>
        <v>123.14399999999999</v>
      </c>
      <c r="P99" s="550">
        <v>2.9319999999999999</v>
      </c>
    </row>
    <row r="100" spans="2:16" x14ac:dyDescent="0.65">
      <c r="B100" s="551">
        <v>41774</v>
      </c>
      <c r="C100" s="552">
        <v>109.54</v>
      </c>
      <c r="D100" s="36">
        <f t="shared" si="1"/>
        <v>121.96799999999999</v>
      </c>
      <c r="P100" s="550">
        <v>2.9039999999999999</v>
      </c>
    </row>
    <row r="101" spans="2:16" x14ac:dyDescent="0.65">
      <c r="B101" s="551">
        <v>41805</v>
      </c>
      <c r="C101" s="552">
        <v>111.8</v>
      </c>
      <c r="D101" s="36">
        <f t="shared" si="1"/>
        <v>122.68199999999999</v>
      </c>
      <c r="P101" s="550">
        <v>2.9209999999999998</v>
      </c>
    </row>
    <row r="102" spans="2:16" x14ac:dyDescent="0.65">
      <c r="B102" s="551">
        <v>41835</v>
      </c>
      <c r="C102" s="552">
        <v>106.77</v>
      </c>
      <c r="D102" s="36">
        <f t="shared" si="1"/>
        <v>119.364</v>
      </c>
      <c r="P102" s="550">
        <v>2.8420000000000001</v>
      </c>
    </row>
    <row r="103" spans="2:16" x14ac:dyDescent="0.65">
      <c r="B103" s="551">
        <v>41866</v>
      </c>
      <c r="C103" s="552">
        <v>101.61</v>
      </c>
      <c r="D103" s="36">
        <f t="shared" si="1"/>
        <v>118.48200000000001</v>
      </c>
      <c r="P103" s="550">
        <v>2.8210000000000002</v>
      </c>
    </row>
    <row r="104" spans="2:16" x14ac:dyDescent="0.65">
      <c r="B104" s="551">
        <v>41897</v>
      </c>
      <c r="C104" s="552">
        <v>97.09</v>
      </c>
      <c r="D104" s="36">
        <f t="shared" si="1"/>
        <v>113.77800000000001</v>
      </c>
      <c r="P104" s="550">
        <v>2.7090000000000001</v>
      </c>
    </row>
    <row r="105" spans="2:16" x14ac:dyDescent="0.65">
      <c r="B105" s="551">
        <v>41927</v>
      </c>
      <c r="C105" s="552">
        <v>87.43</v>
      </c>
      <c r="D105" s="36">
        <f t="shared" si="1"/>
        <v>105</v>
      </c>
      <c r="P105" s="550">
        <v>2.5</v>
      </c>
    </row>
    <row r="106" spans="2:16" x14ac:dyDescent="0.65">
      <c r="B106" s="551">
        <v>41958</v>
      </c>
      <c r="C106" s="552">
        <v>79.44</v>
      </c>
      <c r="D106" s="36">
        <f t="shared" si="1"/>
        <v>97.188000000000002</v>
      </c>
      <c r="P106" s="550">
        <v>2.3140000000000001</v>
      </c>
    </row>
    <row r="107" spans="2:16" x14ac:dyDescent="0.65">
      <c r="B107" s="551">
        <v>41988</v>
      </c>
      <c r="C107" s="552">
        <v>62.34</v>
      </c>
      <c r="D107" s="36">
        <f t="shared" si="1"/>
        <v>74.927999999999997</v>
      </c>
      <c r="P107" s="550">
        <v>1.784</v>
      </c>
    </row>
    <row r="108" spans="2:16" x14ac:dyDescent="0.65">
      <c r="B108" s="551">
        <v>42019</v>
      </c>
      <c r="C108" s="552">
        <v>47.76</v>
      </c>
      <c r="D108" s="36">
        <f t="shared" si="1"/>
        <v>64.301999999999992</v>
      </c>
      <c r="P108" s="550">
        <v>1.5309999999999999</v>
      </c>
    </row>
    <row r="109" spans="2:16" x14ac:dyDescent="0.65">
      <c r="B109" s="551">
        <v>42050</v>
      </c>
      <c r="C109" s="552">
        <v>58.1</v>
      </c>
      <c r="D109" s="36">
        <f t="shared" si="1"/>
        <v>76.608000000000004</v>
      </c>
      <c r="P109" s="550">
        <v>1.8240000000000001</v>
      </c>
    </row>
    <row r="110" spans="2:16" x14ac:dyDescent="0.65">
      <c r="B110" s="551">
        <v>42078</v>
      </c>
      <c r="C110" s="552">
        <v>55.89</v>
      </c>
      <c r="D110" s="36">
        <f t="shared" si="1"/>
        <v>71.862000000000009</v>
      </c>
      <c r="P110" s="550">
        <v>1.7110000000000001</v>
      </c>
    </row>
    <row r="111" spans="2:16" x14ac:dyDescent="0.65">
      <c r="B111" s="551">
        <v>42109</v>
      </c>
      <c r="C111" s="552">
        <v>59.52</v>
      </c>
      <c r="D111" s="36">
        <f t="shared" si="1"/>
        <v>74.591999999999999</v>
      </c>
      <c r="P111" s="550">
        <v>1.776</v>
      </c>
    </row>
    <row r="112" spans="2:16" x14ac:dyDescent="0.65">
      <c r="B112" s="551">
        <v>42139</v>
      </c>
      <c r="C112" s="552">
        <v>64.08</v>
      </c>
      <c r="D112" s="36">
        <f t="shared" si="1"/>
        <v>80.513999999999996</v>
      </c>
      <c r="P112" s="550">
        <v>1.917</v>
      </c>
    </row>
    <row r="113" spans="2:16" x14ac:dyDescent="0.65">
      <c r="B113" s="551">
        <v>42170</v>
      </c>
      <c r="C113" s="552">
        <v>61.48</v>
      </c>
      <c r="D113" s="36">
        <f t="shared" si="1"/>
        <v>75.683999999999997</v>
      </c>
      <c r="P113" s="550">
        <v>1.802</v>
      </c>
    </row>
    <row r="114" spans="2:16" x14ac:dyDescent="0.65">
      <c r="B114" s="551">
        <v>42200</v>
      </c>
      <c r="C114" s="552">
        <v>56.56</v>
      </c>
      <c r="D114" s="36">
        <f t="shared" si="1"/>
        <v>68.207999999999998</v>
      </c>
      <c r="P114" s="550">
        <v>1.6240000000000001</v>
      </c>
    </row>
    <row r="115" spans="2:16" x14ac:dyDescent="0.65">
      <c r="B115" s="551">
        <v>42231</v>
      </c>
      <c r="C115" s="552">
        <v>46.52</v>
      </c>
      <c r="D115" s="36">
        <f t="shared" si="1"/>
        <v>61.446000000000005</v>
      </c>
      <c r="P115" s="550">
        <v>1.4630000000000001</v>
      </c>
    </row>
    <row r="116" spans="2:16" x14ac:dyDescent="0.65">
      <c r="B116" s="551">
        <v>42262</v>
      </c>
      <c r="C116" s="552">
        <v>47.62</v>
      </c>
      <c r="D116" s="36">
        <f t="shared" si="1"/>
        <v>60.647999999999996</v>
      </c>
      <c r="P116" s="550">
        <v>1.444</v>
      </c>
    </row>
    <row r="117" spans="2:16" x14ac:dyDescent="0.65">
      <c r="B117" s="551">
        <v>42292</v>
      </c>
      <c r="C117" s="552">
        <v>48.43</v>
      </c>
      <c r="D117" s="36">
        <f t="shared" si="1"/>
        <v>59.555999999999997</v>
      </c>
      <c r="P117" s="550">
        <v>1.4179999999999999</v>
      </c>
    </row>
    <row r="118" spans="2:16" x14ac:dyDescent="0.65">
      <c r="B118" s="551">
        <v>42323</v>
      </c>
      <c r="C118" s="552">
        <v>44.27</v>
      </c>
      <c r="D118" s="36">
        <f t="shared" si="1"/>
        <v>56.741999999999997</v>
      </c>
      <c r="P118" s="550">
        <v>1.351</v>
      </c>
    </row>
    <row r="119" spans="2:16" x14ac:dyDescent="0.65">
      <c r="B119" s="551">
        <v>42353</v>
      </c>
      <c r="C119" s="552">
        <v>38.01</v>
      </c>
      <c r="D119" s="36">
        <f t="shared" si="1"/>
        <v>45.738</v>
      </c>
      <c r="P119" s="550">
        <v>1.089</v>
      </c>
    </row>
    <row r="120" spans="2:16" x14ac:dyDescent="0.65">
      <c r="B120" s="551">
        <v>42384</v>
      </c>
      <c r="C120" s="552">
        <v>30.7</v>
      </c>
      <c r="D120" s="36">
        <f t="shared" si="1"/>
        <v>40.235999999999997</v>
      </c>
      <c r="P120" s="550">
        <v>0.95799999999999996</v>
      </c>
    </row>
    <row r="121" spans="2:16" x14ac:dyDescent="0.65">
      <c r="B121" s="551">
        <v>42415</v>
      </c>
      <c r="C121" s="552">
        <v>32.18</v>
      </c>
      <c r="D121" s="36">
        <f t="shared" si="1"/>
        <v>41.957999999999998</v>
      </c>
      <c r="P121" s="550">
        <v>0.999</v>
      </c>
    </row>
    <row r="122" spans="2:16" x14ac:dyDescent="0.65">
      <c r="B122" s="551">
        <v>42444</v>
      </c>
      <c r="C122" s="552">
        <v>38.21</v>
      </c>
      <c r="D122" s="36">
        <f t="shared" si="1"/>
        <v>47.334000000000003</v>
      </c>
      <c r="P122" s="550">
        <v>1.127</v>
      </c>
    </row>
    <row r="123" spans="2:16" x14ac:dyDescent="0.65">
      <c r="B123" s="551">
        <v>42475</v>
      </c>
      <c r="C123" s="552">
        <v>41.58</v>
      </c>
      <c r="D123" s="36">
        <f t="shared" si="1"/>
        <v>50.358000000000004</v>
      </c>
      <c r="P123" s="550">
        <v>1.1990000000000001</v>
      </c>
    </row>
    <row r="124" spans="2:16" x14ac:dyDescent="0.65">
      <c r="B124" s="551">
        <v>42505</v>
      </c>
      <c r="C124" s="552">
        <v>46.74</v>
      </c>
      <c r="D124" s="36">
        <f t="shared" si="1"/>
        <v>57.875999999999998</v>
      </c>
      <c r="P124" s="550">
        <v>1.3779999999999999</v>
      </c>
    </row>
    <row r="125" spans="2:16" x14ac:dyDescent="0.65">
      <c r="B125" s="551">
        <v>42536</v>
      </c>
      <c r="C125" s="552">
        <v>48.25</v>
      </c>
      <c r="D125" s="36">
        <f t="shared" si="1"/>
        <v>61.32</v>
      </c>
      <c r="P125" s="550">
        <v>1.46</v>
      </c>
    </row>
    <row r="126" spans="2:16" x14ac:dyDescent="0.65">
      <c r="B126" s="551">
        <v>42566</v>
      </c>
      <c r="C126" s="552">
        <v>44.95</v>
      </c>
      <c r="D126" s="36">
        <f t="shared" si="1"/>
        <v>56.405999999999999</v>
      </c>
      <c r="P126" s="550">
        <v>1.343</v>
      </c>
    </row>
    <row r="127" spans="2:16" x14ac:dyDescent="0.65">
      <c r="B127" s="551">
        <v>42597</v>
      </c>
      <c r="C127" s="552">
        <v>45.84</v>
      </c>
      <c r="D127" s="36">
        <f t="shared" si="1"/>
        <v>57.917999999999999</v>
      </c>
      <c r="P127" s="550">
        <v>1.379</v>
      </c>
    </row>
    <row r="128" spans="2:16" x14ac:dyDescent="0.65">
      <c r="B128" s="551">
        <v>42628</v>
      </c>
      <c r="C128" s="552">
        <v>46.57</v>
      </c>
      <c r="D128" s="36">
        <f t="shared" si="1"/>
        <v>58.8</v>
      </c>
      <c r="P128" s="550">
        <v>1.4</v>
      </c>
    </row>
    <row r="129" spans="2:16" x14ac:dyDescent="0.65">
      <c r="B129" s="551">
        <v>42658</v>
      </c>
      <c r="C129" s="552">
        <v>49.52</v>
      </c>
      <c r="D129" s="36">
        <f t="shared" si="1"/>
        <v>64.847999999999999</v>
      </c>
      <c r="P129" s="550">
        <v>1.544</v>
      </c>
    </row>
    <row r="130" spans="2:16" x14ac:dyDescent="0.65">
      <c r="B130" s="551">
        <v>42689</v>
      </c>
      <c r="C130" s="552">
        <v>44.73</v>
      </c>
      <c r="D130" s="36">
        <f t="shared" si="1"/>
        <v>59.934000000000005</v>
      </c>
      <c r="P130" s="550">
        <v>1.427</v>
      </c>
    </row>
    <row r="131" spans="2:16" x14ac:dyDescent="0.65">
      <c r="B131" s="551">
        <v>42719</v>
      </c>
      <c r="C131" s="552">
        <v>53.31</v>
      </c>
      <c r="D131" s="36">
        <f t="shared" si="1"/>
        <v>67.032000000000011</v>
      </c>
      <c r="P131" s="550">
        <v>1.5960000000000001</v>
      </c>
    </row>
    <row r="132" spans="2:16" x14ac:dyDescent="0.65">
      <c r="B132" s="551">
        <v>42750</v>
      </c>
      <c r="C132" s="552">
        <v>54.58</v>
      </c>
      <c r="D132" s="36">
        <f t="shared" si="1"/>
        <v>66.906000000000006</v>
      </c>
      <c r="P132" s="550">
        <v>1.593</v>
      </c>
    </row>
    <row r="133" spans="2:16" x14ac:dyDescent="0.65">
      <c r="B133" s="551">
        <v>42781</v>
      </c>
      <c r="C133" s="552">
        <v>54.87</v>
      </c>
      <c r="D133" s="36">
        <f t="shared" si="1"/>
        <v>67.536000000000001</v>
      </c>
      <c r="P133" s="550">
        <v>1.6080000000000001</v>
      </c>
    </row>
    <row r="134" spans="2:16" x14ac:dyDescent="0.65">
      <c r="B134" s="551">
        <v>42809</v>
      </c>
      <c r="C134" s="552">
        <v>51.59</v>
      </c>
      <c r="D134" s="36">
        <f t="shared" ref="D134:D192" si="2">42*P134</f>
        <v>63.084000000000003</v>
      </c>
      <c r="P134" s="550">
        <v>1.502</v>
      </c>
    </row>
    <row r="135" spans="2:16" x14ac:dyDescent="0.65">
      <c r="B135" s="551">
        <v>42840</v>
      </c>
      <c r="C135" s="552">
        <v>52.31</v>
      </c>
      <c r="D135" s="36">
        <f t="shared" si="2"/>
        <v>65.436000000000007</v>
      </c>
      <c r="P135" s="550">
        <v>1.5580000000000001</v>
      </c>
    </row>
    <row r="136" spans="2:16" x14ac:dyDescent="0.65">
      <c r="B136" s="551">
        <v>42870</v>
      </c>
      <c r="C136" s="552">
        <v>50.33</v>
      </c>
      <c r="D136" s="36">
        <f t="shared" si="2"/>
        <v>62.244</v>
      </c>
      <c r="P136" s="550">
        <v>1.482</v>
      </c>
    </row>
    <row r="137" spans="2:16" x14ac:dyDescent="0.65">
      <c r="B137" s="551">
        <v>42901</v>
      </c>
      <c r="C137" s="552">
        <v>46.37</v>
      </c>
      <c r="D137" s="36">
        <f t="shared" si="2"/>
        <v>58.211999999999996</v>
      </c>
      <c r="P137" s="550">
        <v>1.3859999999999999</v>
      </c>
    </row>
    <row r="138" spans="2:16" x14ac:dyDescent="0.65">
      <c r="B138" s="551">
        <v>42931</v>
      </c>
      <c r="C138" s="552">
        <v>48.48</v>
      </c>
      <c r="D138" s="36">
        <f t="shared" si="2"/>
        <v>62.411999999999999</v>
      </c>
      <c r="P138" s="550">
        <v>1.486</v>
      </c>
    </row>
    <row r="139" spans="2:16" x14ac:dyDescent="0.65">
      <c r="B139" s="551">
        <v>42962</v>
      </c>
      <c r="C139" s="552">
        <v>51.7</v>
      </c>
      <c r="D139" s="36">
        <f t="shared" si="2"/>
        <v>67.242000000000004</v>
      </c>
      <c r="P139" s="550">
        <v>1.601</v>
      </c>
    </row>
    <row r="140" spans="2:16" x14ac:dyDescent="0.65">
      <c r="B140" s="551">
        <v>42993</v>
      </c>
      <c r="C140" s="552">
        <v>56.15</v>
      </c>
      <c r="D140" s="36">
        <f t="shared" si="2"/>
        <v>74.634</v>
      </c>
      <c r="P140" s="550">
        <v>1.7769999999999999</v>
      </c>
    </row>
    <row r="141" spans="2:16" x14ac:dyDescent="0.65">
      <c r="B141" s="551">
        <v>43023</v>
      </c>
      <c r="C141" s="552">
        <v>57.51</v>
      </c>
      <c r="D141" s="36">
        <f t="shared" si="2"/>
        <v>73.751999999999995</v>
      </c>
      <c r="P141" s="550">
        <v>1.756</v>
      </c>
    </row>
    <row r="142" spans="2:16" x14ac:dyDescent="0.65">
      <c r="B142" s="551">
        <v>43054</v>
      </c>
      <c r="C142" s="552">
        <v>62.71</v>
      </c>
      <c r="D142" s="36">
        <f t="shared" si="2"/>
        <v>77.742000000000004</v>
      </c>
      <c r="P142" s="550">
        <v>1.851</v>
      </c>
    </row>
    <row r="143" spans="2:16" x14ac:dyDescent="0.65">
      <c r="B143" s="551">
        <v>43084</v>
      </c>
      <c r="C143" s="552">
        <v>64.37</v>
      </c>
      <c r="D143" s="36">
        <f t="shared" si="2"/>
        <v>78.414000000000001</v>
      </c>
      <c r="P143" s="550">
        <v>1.867</v>
      </c>
    </row>
    <row r="144" spans="2:16" x14ac:dyDescent="0.65">
      <c r="B144" s="551">
        <v>43115</v>
      </c>
      <c r="C144" s="552">
        <v>69.08</v>
      </c>
      <c r="D144" s="36">
        <f t="shared" si="2"/>
        <v>83.831999999999994</v>
      </c>
      <c r="P144" s="550">
        <v>1.996</v>
      </c>
    </row>
    <row r="145" spans="2:16" x14ac:dyDescent="0.65">
      <c r="B145" s="551">
        <v>43146</v>
      </c>
      <c r="C145" s="552">
        <v>65.319999999999993</v>
      </c>
      <c r="D145" s="36">
        <f t="shared" si="2"/>
        <v>79.59</v>
      </c>
      <c r="P145" s="550">
        <v>1.895</v>
      </c>
    </row>
    <row r="146" spans="2:16" x14ac:dyDescent="0.65">
      <c r="B146" s="551">
        <v>43174</v>
      </c>
      <c r="C146" s="552">
        <v>66.02</v>
      </c>
      <c r="D146" s="36">
        <f t="shared" si="2"/>
        <v>79.59</v>
      </c>
      <c r="P146" s="550">
        <v>1.895</v>
      </c>
    </row>
    <row r="147" spans="2:16" x14ac:dyDescent="0.65">
      <c r="B147" s="551">
        <v>43205</v>
      </c>
      <c r="C147" s="552">
        <v>72.11</v>
      </c>
      <c r="D147" s="36">
        <f t="shared" si="2"/>
        <v>85.217999999999989</v>
      </c>
      <c r="P147" s="550">
        <v>2.0289999999999999</v>
      </c>
    </row>
    <row r="148" spans="2:16" x14ac:dyDescent="0.65">
      <c r="B148" s="551">
        <v>43235</v>
      </c>
      <c r="C148" s="552">
        <v>76.98</v>
      </c>
      <c r="D148" s="36">
        <f t="shared" si="2"/>
        <v>91.602000000000004</v>
      </c>
      <c r="P148" s="550">
        <v>2.181</v>
      </c>
    </row>
    <row r="149" spans="2:16" x14ac:dyDescent="0.65">
      <c r="B149" s="551">
        <v>43266</v>
      </c>
      <c r="C149" s="552">
        <v>74.41</v>
      </c>
      <c r="D149" s="36">
        <f t="shared" si="2"/>
        <v>88.283999999999992</v>
      </c>
      <c r="P149" s="550">
        <v>2.1019999999999999</v>
      </c>
    </row>
    <row r="150" spans="2:16" x14ac:dyDescent="0.65">
      <c r="B150" s="551">
        <v>43296</v>
      </c>
      <c r="C150" s="552">
        <v>74.25</v>
      </c>
      <c r="D150" s="36">
        <f t="shared" si="2"/>
        <v>88.116</v>
      </c>
      <c r="P150" s="550">
        <v>2.0979999999999999</v>
      </c>
    </row>
    <row r="151" spans="2:16" x14ac:dyDescent="0.65">
      <c r="B151" s="551">
        <v>43327</v>
      </c>
      <c r="C151" s="552">
        <v>72.53</v>
      </c>
      <c r="D151" s="36">
        <f t="shared" si="2"/>
        <v>88.787999999999997</v>
      </c>
      <c r="P151" s="550">
        <v>2.1139999999999999</v>
      </c>
    </row>
    <row r="152" spans="2:16" x14ac:dyDescent="0.65">
      <c r="B152" s="551">
        <v>43358</v>
      </c>
      <c r="C152" s="552">
        <v>78.89</v>
      </c>
      <c r="D152" s="36">
        <f t="shared" si="2"/>
        <v>92.82</v>
      </c>
      <c r="P152" s="550">
        <v>2.21</v>
      </c>
    </row>
    <row r="153" spans="2:16" x14ac:dyDescent="0.65">
      <c r="B153" s="551">
        <v>43388</v>
      </c>
      <c r="C153" s="552">
        <v>81.03</v>
      </c>
      <c r="D153" s="36">
        <f t="shared" si="2"/>
        <v>95.843999999999994</v>
      </c>
      <c r="P153" s="550">
        <v>2.282</v>
      </c>
    </row>
    <row r="154" spans="2:16" x14ac:dyDescent="0.65">
      <c r="B154" s="551">
        <v>43419</v>
      </c>
      <c r="C154" s="552">
        <v>64.75</v>
      </c>
      <c r="D154" s="36">
        <f t="shared" si="2"/>
        <v>82.403999999999996</v>
      </c>
      <c r="P154" s="550">
        <v>1.962</v>
      </c>
    </row>
    <row r="155" spans="2:16" x14ac:dyDescent="0.65">
      <c r="B155" s="551">
        <v>43449</v>
      </c>
      <c r="C155" s="552">
        <v>57.36</v>
      </c>
      <c r="D155" s="36">
        <f t="shared" si="2"/>
        <v>70.853999999999999</v>
      </c>
      <c r="P155" s="550">
        <v>1.6870000000000001</v>
      </c>
    </row>
    <row r="156" spans="2:16" x14ac:dyDescent="0.65">
      <c r="B156" s="551">
        <v>43480</v>
      </c>
      <c r="C156" s="552">
        <v>59.41</v>
      </c>
      <c r="D156" s="36">
        <f t="shared" si="2"/>
        <v>74.507999999999996</v>
      </c>
      <c r="P156" s="550">
        <v>1.774</v>
      </c>
    </row>
    <row r="157" spans="2:16" x14ac:dyDescent="0.65">
      <c r="B157" s="551">
        <v>43511</v>
      </c>
      <c r="C157" s="552">
        <v>63.96</v>
      </c>
      <c r="D157" s="36">
        <f t="shared" si="2"/>
        <v>80.135999999999996</v>
      </c>
      <c r="P157" s="550">
        <v>1.9079999999999999</v>
      </c>
    </row>
    <row r="158" spans="2:16" x14ac:dyDescent="0.65">
      <c r="B158" s="551">
        <v>43539</v>
      </c>
      <c r="C158" s="552">
        <v>66.14</v>
      </c>
      <c r="D158" s="36">
        <f t="shared" si="2"/>
        <v>81.438000000000002</v>
      </c>
      <c r="P158" s="550">
        <v>1.9390000000000001</v>
      </c>
    </row>
    <row r="159" spans="2:16" x14ac:dyDescent="0.65">
      <c r="B159" s="551">
        <v>43570</v>
      </c>
      <c r="C159" s="552">
        <v>71.23</v>
      </c>
      <c r="D159" s="36">
        <f t="shared" si="2"/>
        <v>84.504000000000005</v>
      </c>
      <c r="P159" s="550">
        <v>2.012</v>
      </c>
    </row>
    <row r="160" spans="2:16" x14ac:dyDescent="0.65">
      <c r="B160" s="551">
        <v>43600</v>
      </c>
      <c r="C160" s="552">
        <v>71.319999999999993</v>
      </c>
      <c r="D160" s="36">
        <f t="shared" si="2"/>
        <v>83.286000000000001</v>
      </c>
      <c r="P160" s="550">
        <v>1.9830000000000001</v>
      </c>
    </row>
    <row r="161" spans="2:16" x14ac:dyDescent="0.65">
      <c r="B161" s="551">
        <v>43631</v>
      </c>
      <c r="C161" s="552">
        <v>64.22</v>
      </c>
      <c r="D161" s="36">
        <f t="shared" si="2"/>
        <v>75.893999999999991</v>
      </c>
      <c r="P161" s="550">
        <v>1.8069999999999999</v>
      </c>
    </row>
    <row r="162" spans="2:16" x14ac:dyDescent="0.65">
      <c r="B162" s="551">
        <v>43661</v>
      </c>
      <c r="C162" s="552">
        <v>63.92</v>
      </c>
      <c r="D162" s="36">
        <f t="shared" si="2"/>
        <v>78.665999999999997</v>
      </c>
      <c r="P162" s="550">
        <v>1.873</v>
      </c>
    </row>
    <row r="163" spans="2:16" x14ac:dyDescent="0.65">
      <c r="B163" s="551">
        <v>43692</v>
      </c>
      <c r="C163" s="552">
        <v>59.04</v>
      </c>
      <c r="D163" s="36">
        <f t="shared" si="2"/>
        <v>75.096000000000004</v>
      </c>
      <c r="P163" s="550">
        <v>1.788</v>
      </c>
    </row>
    <row r="164" spans="2:16" x14ac:dyDescent="0.65">
      <c r="B164" s="551">
        <v>43723</v>
      </c>
      <c r="C164" s="552">
        <v>62.83</v>
      </c>
      <c r="D164" s="36">
        <f t="shared" si="2"/>
        <v>79.59</v>
      </c>
      <c r="P164" s="550">
        <v>1.895</v>
      </c>
    </row>
    <row r="165" spans="2:16" x14ac:dyDescent="0.65">
      <c r="B165" s="551">
        <v>43753</v>
      </c>
      <c r="C165" s="552">
        <v>59.71</v>
      </c>
      <c r="D165" s="36">
        <f t="shared" si="2"/>
        <v>78.792000000000002</v>
      </c>
      <c r="P165" s="550">
        <v>1.8759999999999999</v>
      </c>
    </row>
    <row r="166" spans="2:16" x14ac:dyDescent="0.65">
      <c r="B166" s="551">
        <v>43784</v>
      </c>
      <c r="C166" s="552">
        <v>63.21</v>
      </c>
      <c r="D166" s="36">
        <f t="shared" si="2"/>
        <v>77.195999999999998</v>
      </c>
      <c r="P166" s="550">
        <v>1.8380000000000001</v>
      </c>
    </row>
    <row r="167" spans="2:16" x14ac:dyDescent="0.65">
      <c r="B167" s="551">
        <v>43814</v>
      </c>
      <c r="C167" s="552">
        <v>67.31</v>
      </c>
      <c r="D167" s="36">
        <f t="shared" si="2"/>
        <v>79.757999999999996</v>
      </c>
      <c r="P167" s="550">
        <v>1.899</v>
      </c>
    </row>
    <row r="168" spans="2:16" x14ac:dyDescent="0.65">
      <c r="B168" s="551">
        <v>43845</v>
      </c>
      <c r="C168" s="552">
        <v>63.65</v>
      </c>
      <c r="D168" s="36">
        <f t="shared" si="2"/>
        <v>74.34</v>
      </c>
      <c r="P168" s="550">
        <v>1.77</v>
      </c>
    </row>
    <row r="169" spans="2:16" x14ac:dyDescent="0.65">
      <c r="B169" s="551">
        <v>43876</v>
      </c>
      <c r="C169" s="552">
        <v>55.66</v>
      </c>
      <c r="D169" s="36">
        <f t="shared" si="2"/>
        <v>65.183999999999997</v>
      </c>
      <c r="P169" s="550">
        <v>1.552</v>
      </c>
    </row>
    <row r="170" spans="2:16" x14ac:dyDescent="0.65">
      <c r="B170" s="551">
        <v>43905</v>
      </c>
      <c r="C170" s="552">
        <v>32.01</v>
      </c>
      <c r="D170" s="36">
        <f t="shared" si="2"/>
        <v>47.208000000000006</v>
      </c>
      <c r="P170" s="550">
        <v>1.1240000000000001</v>
      </c>
    </row>
    <row r="171" spans="2:16" x14ac:dyDescent="0.65">
      <c r="B171" s="551">
        <v>43936</v>
      </c>
      <c r="C171" s="552">
        <v>18.38</v>
      </c>
      <c r="D171" s="36">
        <f t="shared" si="2"/>
        <v>33.768000000000001</v>
      </c>
      <c r="P171" s="550">
        <v>0.80400000000000005</v>
      </c>
    </row>
    <row r="172" spans="2:16" x14ac:dyDescent="0.65">
      <c r="B172" s="551">
        <v>43966</v>
      </c>
      <c r="C172" s="552">
        <v>29.38</v>
      </c>
      <c r="D172" s="36">
        <f t="shared" si="2"/>
        <v>35.195999999999998</v>
      </c>
      <c r="P172" s="550">
        <v>0.83799999999999997</v>
      </c>
    </row>
    <row r="173" spans="2:16" x14ac:dyDescent="0.65">
      <c r="B173" s="551">
        <v>43997</v>
      </c>
      <c r="C173" s="552">
        <v>40.270000000000003</v>
      </c>
      <c r="D173" s="36">
        <f t="shared" si="2"/>
        <v>45.485999999999997</v>
      </c>
      <c r="P173" s="550">
        <v>1.083</v>
      </c>
    </row>
    <row r="174" spans="2:16" x14ac:dyDescent="0.65">
      <c r="B174" s="551">
        <v>44027</v>
      </c>
      <c r="C174" s="552">
        <v>43.24</v>
      </c>
      <c r="D174" s="36">
        <f t="shared" si="2"/>
        <v>49.98</v>
      </c>
      <c r="P174" s="550">
        <v>1.19</v>
      </c>
    </row>
    <row r="175" spans="2:16" x14ac:dyDescent="0.65">
      <c r="B175" s="551">
        <v>44058</v>
      </c>
      <c r="C175" s="552">
        <v>44.74</v>
      </c>
      <c r="D175" s="36">
        <f t="shared" si="2"/>
        <v>50.231999999999999</v>
      </c>
      <c r="P175" s="550">
        <v>1.196</v>
      </c>
    </row>
    <row r="176" spans="2:16" x14ac:dyDescent="0.65">
      <c r="B176" s="551">
        <v>44089</v>
      </c>
      <c r="C176" s="552">
        <v>40.909999999999997</v>
      </c>
      <c r="D176" s="36">
        <f t="shared" si="2"/>
        <v>45.444000000000003</v>
      </c>
      <c r="P176" s="550">
        <v>1.0820000000000001</v>
      </c>
    </row>
    <row r="177" spans="2:16" x14ac:dyDescent="0.65">
      <c r="B177" s="551">
        <v>44119</v>
      </c>
      <c r="C177" s="552">
        <v>40.19</v>
      </c>
      <c r="D177" s="36">
        <f t="shared" si="2"/>
        <v>46.494</v>
      </c>
      <c r="P177" s="550">
        <v>1.107</v>
      </c>
    </row>
    <row r="178" spans="2:16" x14ac:dyDescent="0.65">
      <c r="B178" s="551">
        <v>44150</v>
      </c>
      <c r="C178" s="552">
        <v>42.69</v>
      </c>
      <c r="D178" s="36">
        <f t="shared" si="2"/>
        <v>50.862000000000002</v>
      </c>
      <c r="P178" s="550">
        <v>1.2110000000000001</v>
      </c>
    </row>
    <row r="179" spans="2:16" x14ac:dyDescent="0.65">
      <c r="B179" s="551">
        <v>44180</v>
      </c>
      <c r="C179" s="552">
        <v>49.99</v>
      </c>
      <c r="D179" s="36">
        <f t="shared" si="2"/>
        <v>58.926000000000002</v>
      </c>
      <c r="P179" s="550">
        <v>1.403</v>
      </c>
    </row>
    <row r="180" spans="2:16" x14ac:dyDescent="0.65">
      <c r="B180" s="551">
        <v>44211</v>
      </c>
      <c r="C180" s="552">
        <v>54.77</v>
      </c>
      <c r="D180" s="36">
        <f t="shared" si="2"/>
        <v>63.965999999999994</v>
      </c>
      <c r="P180" s="550">
        <v>1.5229999999999999</v>
      </c>
    </row>
    <row r="181" spans="2:16" x14ac:dyDescent="0.65">
      <c r="B181" s="551">
        <v>44242</v>
      </c>
      <c r="C181" s="552">
        <v>62.28</v>
      </c>
      <c r="D181" s="36">
        <f t="shared" si="2"/>
        <v>73.248000000000005</v>
      </c>
      <c r="P181" s="550">
        <v>1.744</v>
      </c>
    </row>
    <row r="182" spans="2:16" x14ac:dyDescent="0.65">
      <c r="B182" s="551">
        <v>44270</v>
      </c>
      <c r="C182" s="552">
        <v>65.41</v>
      </c>
      <c r="D182" s="36">
        <f t="shared" si="2"/>
        <v>76.608000000000004</v>
      </c>
      <c r="P182" s="550">
        <v>1.8240000000000001</v>
      </c>
    </row>
    <row r="183" spans="2:16" x14ac:dyDescent="0.65">
      <c r="B183" s="551">
        <v>44301</v>
      </c>
      <c r="C183" s="552">
        <v>64.81</v>
      </c>
      <c r="D183" s="36">
        <f t="shared" si="2"/>
        <v>76.146000000000001</v>
      </c>
      <c r="P183" s="550">
        <v>1.8129999999999999</v>
      </c>
    </row>
    <row r="184" spans="2:16" x14ac:dyDescent="0.65">
      <c r="B184" s="551">
        <v>44331</v>
      </c>
      <c r="C184" s="552">
        <v>68.53</v>
      </c>
      <c r="D184" s="36">
        <f t="shared" si="2"/>
        <v>82.782000000000011</v>
      </c>
      <c r="P184" s="550">
        <v>1.9710000000000001</v>
      </c>
    </row>
    <row r="185" spans="2:16" x14ac:dyDescent="0.65">
      <c r="B185" s="551">
        <v>44362</v>
      </c>
      <c r="C185" s="552">
        <v>73.16</v>
      </c>
      <c r="D185" s="36">
        <f t="shared" si="2"/>
        <v>86.856000000000009</v>
      </c>
      <c r="P185" s="550">
        <v>2.0680000000000001</v>
      </c>
    </row>
    <row r="186" spans="2:16" x14ac:dyDescent="0.65">
      <c r="B186" s="551">
        <v>44392</v>
      </c>
      <c r="C186" s="552">
        <v>75.17</v>
      </c>
      <c r="D186" s="36">
        <f t="shared" si="2"/>
        <v>86.982000000000014</v>
      </c>
      <c r="P186" s="550">
        <v>2.0710000000000002</v>
      </c>
    </row>
    <row r="187" spans="2:16" x14ac:dyDescent="0.65">
      <c r="B187" s="551">
        <v>44423</v>
      </c>
      <c r="C187" s="552">
        <v>70.75</v>
      </c>
      <c r="D187" s="36">
        <f t="shared" si="2"/>
        <v>84.63000000000001</v>
      </c>
      <c r="P187" s="550">
        <v>2.0150000000000001</v>
      </c>
    </row>
    <row r="188" spans="2:16" x14ac:dyDescent="0.65">
      <c r="B188" s="551">
        <v>44454</v>
      </c>
      <c r="C188" s="552">
        <v>74.489999999999995</v>
      </c>
      <c r="D188" s="36">
        <f t="shared" si="2"/>
        <v>90.384</v>
      </c>
      <c r="P188" s="550">
        <v>2.1520000000000001</v>
      </c>
    </row>
    <row r="189" spans="2:16" x14ac:dyDescent="0.65">
      <c r="B189" s="551">
        <v>44484</v>
      </c>
      <c r="C189" s="552">
        <v>83.54</v>
      </c>
      <c r="D189" s="36">
        <f t="shared" si="2"/>
        <v>103.11</v>
      </c>
      <c r="P189" s="550">
        <v>2.4550000000000001</v>
      </c>
    </row>
    <row r="190" spans="2:16" x14ac:dyDescent="0.65">
      <c r="B190" s="551">
        <v>44515</v>
      </c>
      <c r="C190" s="552">
        <v>81.05</v>
      </c>
      <c r="D190" s="36">
        <f t="shared" si="2"/>
        <v>97.60799999999999</v>
      </c>
      <c r="P190" s="550">
        <v>2.3239999999999998</v>
      </c>
    </row>
    <row r="191" spans="2:16" x14ac:dyDescent="0.65">
      <c r="B191" s="553">
        <v>44545</v>
      </c>
      <c r="C191" s="36">
        <v>74.17</v>
      </c>
      <c r="D191" s="36">
        <f t="shared" si="2"/>
        <v>92.19</v>
      </c>
      <c r="P191" s="550">
        <v>2.1949999999999998</v>
      </c>
    </row>
    <row r="192" spans="2:16" x14ac:dyDescent="0.65">
      <c r="B192" s="553">
        <v>44576</v>
      </c>
      <c r="C192" s="36">
        <v>86.51</v>
      </c>
      <c r="D192" s="36">
        <f t="shared" si="2"/>
        <v>107.1</v>
      </c>
      <c r="P192" s="550">
        <v>2.5499999999999998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S10"/>
  <sheetViews>
    <sheetView zoomScale="70" zoomScaleNormal="70" workbookViewId="0">
      <selection activeCell="M18" sqref="M18"/>
    </sheetView>
  </sheetViews>
  <sheetFormatPr defaultColWidth="8.90625" defaultRowHeight="16.7" x14ac:dyDescent="0.55000000000000004"/>
  <cols>
    <col min="1" max="4" width="8.90625" style="103"/>
    <col min="5" max="5" width="28.90625" style="103" bestFit="1" customWidth="1"/>
    <col min="6" max="8" width="8.90625" style="103"/>
    <col min="9" max="9" width="5.54296875" style="103" bestFit="1" customWidth="1"/>
    <col min="10" max="14" width="8.90625" style="103"/>
    <col min="15" max="15" width="30.1796875" style="103" bestFit="1" customWidth="1"/>
    <col min="16" max="16" width="8.90625" style="103"/>
    <col min="17" max="17" width="12.6328125" style="103" bestFit="1" customWidth="1"/>
    <col min="18" max="18" width="9.6328125" style="103" bestFit="1" customWidth="1"/>
    <col min="19" max="16384" width="8.90625" style="103"/>
  </cols>
  <sheetData>
    <row r="3" spans="5:19" x14ac:dyDescent="0.55000000000000004">
      <c r="S3" s="104"/>
    </row>
    <row r="6" spans="5:19" x14ac:dyDescent="0.55000000000000004">
      <c r="F6" s="107" t="s">
        <v>633</v>
      </c>
      <c r="G6" s="107">
        <v>1400</v>
      </c>
      <c r="H6" s="107">
        <v>1401</v>
      </c>
      <c r="I6" s="107">
        <v>1402</v>
      </c>
      <c r="J6" s="107">
        <v>1403</v>
      </c>
      <c r="K6" s="107">
        <v>1404</v>
      </c>
      <c r="O6" s="107" t="s">
        <v>653</v>
      </c>
      <c r="P6" s="103">
        <f>69.25/66</f>
        <v>1.0492424242424243</v>
      </c>
    </row>
    <row r="7" spans="5:19" x14ac:dyDescent="0.55000000000000004">
      <c r="E7" s="108" t="s">
        <v>643</v>
      </c>
      <c r="F7" s="104">
        <f>92.23+(82-92.23)/2</f>
        <v>87.115000000000009</v>
      </c>
      <c r="G7" s="104">
        <f>69.25*3/4+F7/4</f>
        <v>73.716250000000002</v>
      </c>
      <c r="H7" s="104">
        <v>82</v>
      </c>
      <c r="I7" s="104">
        <v>83</v>
      </c>
      <c r="J7" s="104">
        <v>83</v>
      </c>
      <c r="K7" s="104">
        <v>82</v>
      </c>
    </row>
    <row r="8" spans="5:19" x14ac:dyDescent="0.55000000000000004">
      <c r="E8" s="108" t="s">
        <v>645</v>
      </c>
      <c r="F8" s="104">
        <f>1.078*F7+8.53</f>
        <v>102.43997000000002</v>
      </c>
      <c r="G8" s="104">
        <f t="shared" ref="G8:K8" si="0">1.078*G7+8.53</f>
        <v>87.996117500000011</v>
      </c>
      <c r="H8" s="104">
        <f t="shared" si="0"/>
        <v>96.926000000000002</v>
      </c>
      <c r="I8" s="104">
        <f t="shared" si="0"/>
        <v>98.004000000000005</v>
      </c>
      <c r="J8" s="104">
        <f t="shared" si="0"/>
        <v>98.004000000000005</v>
      </c>
      <c r="K8" s="104">
        <f t="shared" si="0"/>
        <v>96.926000000000002</v>
      </c>
    </row>
    <row r="9" spans="5:19" x14ac:dyDescent="0.55000000000000004">
      <c r="E9" s="108" t="s">
        <v>644</v>
      </c>
      <c r="F9" s="104">
        <f>106.28*(F8/107.1)</f>
        <v>101.65564903454717</v>
      </c>
      <c r="G9" s="104">
        <f>106.28*(G8/107.1)</f>
        <v>87.322384387488341</v>
      </c>
      <c r="H9" s="104">
        <f t="shared" ref="H9:K9" si="1">106.28*(H8/107.1)</f>
        <v>96.183896171802061</v>
      </c>
      <c r="I9" s="104">
        <f t="shared" si="1"/>
        <v>97.253642577030831</v>
      </c>
      <c r="J9" s="104">
        <f t="shared" si="1"/>
        <v>97.253642577030831</v>
      </c>
      <c r="K9" s="104">
        <f t="shared" si="1"/>
        <v>96.183896171802061</v>
      </c>
    </row>
    <row r="10" spans="5:19" x14ac:dyDescent="0.55000000000000004">
      <c r="E10" s="108" t="s">
        <v>646</v>
      </c>
      <c r="F10" s="104">
        <f>6.2898*F9</f>
        <v>639.39370129749477</v>
      </c>
      <c r="G10" s="104">
        <f>6.2898*G9</f>
        <v>549.24033332042416</v>
      </c>
      <c r="H10" s="104">
        <f t="shared" ref="H10:K10" si="2">6.2898*H9</f>
        <v>604.97747014140054</v>
      </c>
      <c r="I10" s="104">
        <f t="shared" si="2"/>
        <v>611.70596108100847</v>
      </c>
      <c r="J10" s="104">
        <f t="shared" si="2"/>
        <v>611.70596108100847</v>
      </c>
      <c r="K10" s="104">
        <f t="shared" si="2"/>
        <v>604.97747014140054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H21"/>
  <sheetViews>
    <sheetView zoomScale="70" zoomScaleNormal="70" workbookViewId="0">
      <selection activeCell="M6" sqref="M6"/>
    </sheetView>
  </sheetViews>
  <sheetFormatPr defaultColWidth="8.90625" defaultRowHeight="16.7" x14ac:dyDescent="0.55000000000000004"/>
  <cols>
    <col min="1" max="2" width="8.90625" style="103"/>
    <col min="3" max="3" width="34.453125" style="103" bestFit="1" customWidth="1"/>
    <col min="4" max="8" width="14" style="103" bestFit="1" customWidth="1"/>
    <col min="9" max="12" width="8.90625" style="103"/>
    <col min="13" max="13" width="10.453125" style="103" bestFit="1" customWidth="1"/>
    <col min="14" max="16384" width="8.90625" style="103"/>
  </cols>
  <sheetData>
    <row r="5" spans="3:8" x14ac:dyDescent="0.55000000000000004">
      <c r="C5" s="113" t="s">
        <v>52</v>
      </c>
      <c r="D5" s="114">
        <v>1400</v>
      </c>
      <c r="E5" s="114">
        <v>1401</v>
      </c>
      <c r="F5" s="114">
        <v>1402</v>
      </c>
      <c r="G5" s="114">
        <v>1403</v>
      </c>
      <c r="H5" s="115">
        <v>1404</v>
      </c>
    </row>
    <row r="6" spans="3:8" x14ac:dyDescent="0.55000000000000004">
      <c r="C6" s="116" t="s">
        <v>3</v>
      </c>
      <c r="D6" s="117">
        <f>'پیش بینی فروش'!D19</f>
        <v>202388.07713357467</v>
      </c>
      <c r="E6" s="117">
        <f>'پیش بینی فروش'!E19</f>
        <v>296659.5396736103</v>
      </c>
      <c r="F6" s="117">
        <f>'پیش بینی فروش'!F19</f>
        <v>372877.15213102801</v>
      </c>
      <c r="G6" s="117">
        <f>'پیش بینی فروش'!G19</f>
        <v>463507.01549620845</v>
      </c>
      <c r="H6" s="175">
        <f>'پیش بینی فروش'!H19</f>
        <v>569809.63032957795</v>
      </c>
    </row>
    <row r="7" spans="3:8" x14ac:dyDescent="0.55000000000000004">
      <c r="C7" s="116" t="s">
        <v>40</v>
      </c>
      <c r="D7" s="117">
        <f>-'پیش بینی بهای تمام شده'!D26</f>
        <v>-177144.91959487254</v>
      </c>
      <c r="E7" s="117">
        <f>-'پیش بینی بهای تمام شده'!E26</f>
        <v>-257383.16758011412</v>
      </c>
      <c r="F7" s="117">
        <f>-'پیش بینی بهای تمام شده'!F26</f>
        <v>-323853.29838017997</v>
      </c>
      <c r="G7" s="117">
        <f>-'پیش بینی بهای تمام شده'!G26</f>
        <v>-402567.64173647371</v>
      </c>
      <c r="H7" s="175">
        <f>-'پیش بینی بهای تمام شده'!H26</f>
        <v>-494369.43013272964</v>
      </c>
    </row>
    <row r="8" spans="3:8" x14ac:dyDescent="0.55000000000000004">
      <c r="C8" s="116" t="s">
        <v>54</v>
      </c>
      <c r="D8" s="118">
        <f>D6+D7</f>
        <v>25243.157538702129</v>
      </c>
      <c r="E8" s="118">
        <f t="shared" ref="E8:H8" si="0">E6+E7</f>
        <v>39276.372093496175</v>
      </c>
      <c r="F8" s="118">
        <f t="shared" si="0"/>
        <v>49023.853750848037</v>
      </c>
      <c r="G8" s="118">
        <f t="shared" si="0"/>
        <v>60939.373759734735</v>
      </c>
      <c r="H8" s="119">
        <f t="shared" si="0"/>
        <v>75440.200196848309</v>
      </c>
    </row>
    <row r="9" spans="3:8" x14ac:dyDescent="0.55000000000000004">
      <c r="C9" s="116" t="s">
        <v>55</v>
      </c>
      <c r="D9" s="118">
        <f>-0.0848*D8</f>
        <v>-2140.6197592819408</v>
      </c>
      <c r="E9" s="118">
        <f t="shared" ref="E9:H9" si="1">-0.0848*E8</f>
        <v>-3330.6363535284754</v>
      </c>
      <c r="F9" s="118">
        <f t="shared" si="1"/>
        <v>-4157.2227980719135</v>
      </c>
      <c r="G9" s="118">
        <f t="shared" si="1"/>
        <v>-5167.6588948255057</v>
      </c>
      <c r="H9" s="119">
        <f t="shared" si="1"/>
        <v>-6397.3289766927364</v>
      </c>
    </row>
    <row r="10" spans="3:8" x14ac:dyDescent="0.55000000000000004">
      <c r="C10" s="116" t="s">
        <v>56</v>
      </c>
      <c r="D10" s="125">
        <f>'پیش بینی سایر'!W23/10000000*(1+'پیش بینی سایر'!W24)</f>
        <v>8.4197484965240849E-2</v>
      </c>
      <c r="E10" s="125">
        <f>D10*1.3998</f>
        <v>0.11785963945434413</v>
      </c>
      <c r="F10" s="125">
        <f t="shared" ref="F10:H10" si="2">E10*1.3998</f>
        <v>0.16497992330819092</v>
      </c>
      <c r="G10" s="125">
        <f t="shared" si="2"/>
        <v>0.23093889664680564</v>
      </c>
      <c r="H10" s="126">
        <f t="shared" si="2"/>
        <v>0.32326826752619853</v>
      </c>
    </row>
    <row r="11" spans="3:8" x14ac:dyDescent="0.55000000000000004">
      <c r="C11" s="116" t="s">
        <v>57</v>
      </c>
      <c r="D11" s="118">
        <f>D8+D9+D10</f>
        <v>23102.621976905153</v>
      </c>
      <c r="E11" s="118">
        <f>E8+E9+E10</f>
        <v>35945.853599607151</v>
      </c>
      <c r="F11" s="118">
        <f t="shared" ref="F11:H11" si="3">F8+F9+F10</f>
        <v>44866.795932699431</v>
      </c>
      <c r="G11" s="118">
        <f t="shared" si="3"/>
        <v>55771.945803805873</v>
      </c>
      <c r="H11" s="119">
        <f t="shared" si="3"/>
        <v>69043.194488423105</v>
      </c>
    </row>
    <row r="12" spans="3:8" x14ac:dyDescent="0.55000000000000004">
      <c r="C12" s="116" t="s">
        <v>58</v>
      </c>
      <c r="D12" s="125">
        <f>'پیش بینی سایر'!K38/10000000</f>
        <v>-2.2215679999999998E-2</v>
      </c>
      <c r="E12" s="125">
        <v>-2.2215679999999998E-2</v>
      </c>
      <c r="F12" s="125">
        <v>-2.2215679999999998E-2</v>
      </c>
      <c r="G12" s="125">
        <v>-2.2215679999999998E-2</v>
      </c>
      <c r="H12" s="126">
        <v>-2.2215679999999998E-2</v>
      </c>
    </row>
    <row r="13" spans="3:8" x14ac:dyDescent="0.55000000000000004">
      <c r="C13" s="116" t="s">
        <v>59</v>
      </c>
      <c r="D13" s="118">
        <f>0.0516*D8</f>
        <v>1302.5469289970299</v>
      </c>
      <c r="E13" s="118">
        <f t="shared" ref="E13:H13" si="4">0.0516*E8</f>
        <v>2026.6608000244025</v>
      </c>
      <c r="F13" s="118">
        <f t="shared" si="4"/>
        <v>2529.6308535437588</v>
      </c>
      <c r="G13" s="118">
        <f t="shared" si="4"/>
        <v>3144.4716860023123</v>
      </c>
      <c r="H13" s="119">
        <f t="shared" si="4"/>
        <v>3892.7143301573728</v>
      </c>
    </row>
    <row r="14" spans="3:8" x14ac:dyDescent="0.55000000000000004">
      <c r="C14" s="116" t="s">
        <v>60</v>
      </c>
      <c r="D14" s="118">
        <f>D13+D12+D11</f>
        <v>24405.146690222184</v>
      </c>
      <c r="E14" s="118">
        <f t="shared" ref="E14:H14" si="5">E13+E12+E11</f>
        <v>37972.492183951552</v>
      </c>
      <c r="F14" s="118">
        <f t="shared" si="5"/>
        <v>47396.404570563187</v>
      </c>
      <c r="G14" s="118">
        <f t="shared" si="5"/>
        <v>58916.395274128183</v>
      </c>
      <c r="H14" s="119">
        <f t="shared" si="5"/>
        <v>72935.886602900471</v>
      </c>
    </row>
    <row r="15" spans="3:8" x14ac:dyDescent="0.55000000000000004">
      <c r="C15" s="116" t="s">
        <v>68</v>
      </c>
      <c r="D15" s="120">
        <v>18.5</v>
      </c>
      <c r="E15" s="120">
        <v>18.5</v>
      </c>
      <c r="F15" s="120">
        <v>18.5</v>
      </c>
      <c r="G15" s="120">
        <v>18.5</v>
      </c>
      <c r="H15" s="121">
        <v>18.5</v>
      </c>
    </row>
    <row r="16" spans="3:8" x14ac:dyDescent="0.55000000000000004">
      <c r="C16" s="116" t="s">
        <v>61</v>
      </c>
      <c r="D16" s="118">
        <f>D15/100*D14</f>
        <v>4514.9521376911043</v>
      </c>
      <c r="E16" s="118">
        <f t="shared" ref="E16:H16" si="6">E15/100*E14</f>
        <v>7024.9110540310367</v>
      </c>
      <c r="F16" s="118">
        <f t="shared" si="6"/>
        <v>8768.3348455541891</v>
      </c>
      <c r="G16" s="118">
        <f t="shared" si="6"/>
        <v>10899.533125713713</v>
      </c>
      <c r="H16" s="119">
        <f t="shared" si="6"/>
        <v>13493.139021536586</v>
      </c>
    </row>
    <row r="17" spans="3:8" x14ac:dyDescent="0.55000000000000004">
      <c r="C17" s="116" t="s">
        <v>62</v>
      </c>
      <c r="D17" s="118">
        <f>D14-D16</f>
        <v>19890.19455253108</v>
      </c>
      <c r="E17" s="118">
        <f t="shared" ref="E17:H17" si="7">E14-E16</f>
        <v>30947.581129920516</v>
      </c>
      <c r="F17" s="118">
        <f t="shared" si="7"/>
        <v>38628.069725009002</v>
      </c>
      <c r="G17" s="118">
        <f t="shared" si="7"/>
        <v>48016.862148414468</v>
      </c>
      <c r="H17" s="119">
        <f t="shared" si="7"/>
        <v>59442.747581363888</v>
      </c>
    </row>
    <row r="18" spans="3:8" x14ac:dyDescent="0.55000000000000004">
      <c r="C18" s="116" t="s">
        <v>63</v>
      </c>
      <c r="D18" s="120">
        <v>0</v>
      </c>
      <c r="E18" s="120">
        <v>0</v>
      </c>
      <c r="F18" s="120">
        <v>0</v>
      </c>
      <c r="G18" s="120">
        <v>0</v>
      </c>
      <c r="H18" s="121">
        <v>0</v>
      </c>
    </row>
    <row r="19" spans="3:8" x14ac:dyDescent="0.55000000000000004">
      <c r="C19" s="116" t="s">
        <v>64</v>
      </c>
      <c r="D19" s="118">
        <f>D17</f>
        <v>19890.19455253108</v>
      </c>
      <c r="E19" s="118">
        <f t="shared" ref="E19:H19" si="8">E17</f>
        <v>30947.581129920516</v>
      </c>
      <c r="F19" s="118">
        <f t="shared" si="8"/>
        <v>38628.069725009002</v>
      </c>
      <c r="G19" s="118">
        <f t="shared" si="8"/>
        <v>48016.862148414468</v>
      </c>
      <c r="H19" s="119">
        <f t="shared" si="8"/>
        <v>59442.747581363888</v>
      </c>
    </row>
    <row r="20" spans="3:8" x14ac:dyDescent="0.55000000000000004">
      <c r="C20" s="116" t="s">
        <v>671</v>
      </c>
      <c r="D20" s="117">
        <f>D19/134341922000*10000000000</f>
        <v>1480.5649834703929</v>
      </c>
      <c r="E20" s="117">
        <f t="shared" ref="E20:H20" si="9">E19/134341922000*10000000000</f>
        <v>2303.6428740330598</v>
      </c>
      <c r="F20" s="117">
        <f t="shared" si="9"/>
        <v>2875.3548520028621</v>
      </c>
      <c r="G20" s="117">
        <f t="shared" si="9"/>
        <v>3574.2277193573623</v>
      </c>
      <c r="H20" s="175">
        <f t="shared" si="9"/>
        <v>4424.7355327671949</v>
      </c>
    </row>
    <row r="21" spans="3:8" x14ac:dyDescent="0.55000000000000004">
      <c r="C21" s="122" t="s">
        <v>66</v>
      </c>
      <c r="D21" s="123">
        <v>134341922000</v>
      </c>
      <c r="E21" s="123">
        <v>134341922000</v>
      </c>
      <c r="F21" s="123">
        <v>134341922000</v>
      </c>
      <c r="G21" s="123">
        <v>134341922000</v>
      </c>
      <c r="H21" s="124">
        <v>134341922000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K64"/>
  <sheetViews>
    <sheetView zoomScale="50" zoomScaleNormal="50" workbookViewId="0">
      <selection activeCell="J10" sqref="J10"/>
    </sheetView>
  </sheetViews>
  <sheetFormatPr defaultRowHeight="16.7" x14ac:dyDescent="0.55000000000000004"/>
  <cols>
    <col min="1" max="2" width="8.7265625" style="120"/>
    <col min="3" max="4" width="18.08984375" style="120" bestFit="1" customWidth="1"/>
    <col min="5" max="5" width="13.54296875" style="120" bestFit="1" customWidth="1"/>
    <col min="6" max="6" width="8.7265625" style="120"/>
    <col min="7" max="7" width="9.453125" style="120" bestFit="1" customWidth="1"/>
    <col min="8" max="9" width="8.7265625" style="120"/>
    <col min="10" max="10" width="11.6328125" style="120" bestFit="1" customWidth="1"/>
    <col min="11" max="11" width="12" style="120" bestFit="1" customWidth="1"/>
    <col min="12" max="16384" width="8.7265625" style="120"/>
  </cols>
  <sheetData>
    <row r="4" spans="3:11" ht="19.899999999999999" x14ac:dyDescent="0.65">
      <c r="C4" s="31"/>
      <c r="D4" s="31" t="s">
        <v>674</v>
      </c>
      <c r="E4" s="31" t="s">
        <v>675</v>
      </c>
      <c r="F4" s="31" t="s">
        <v>678</v>
      </c>
      <c r="G4" s="31" t="s">
        <v>676</v>
      </c>
      <c r="J4" s="156" t="s">
        <v>899</v>
      </c>
      <c r="K4" s="566">
        <v>0.22</v>
      </c>
    </row>
    <row r="5" spans="3:11" ht="21.5" x14ac:dyDescent="0.65">
      <c r="C5" s="554">
        <v>42825</v>
      </c>
      <c r="D5" s="556">
        <v>77584.399999999994</v>
      </c>
      <c r="E5" s="557"/>
      <c r="F5" s="557">
        <v>324.11043122884303</v>
      </c>
      <c r="G5" s="558"/>
      <c r="J5" s="159" t="s">
        <v>900</v>
      </c>
      <c r="K5" s="285">
        <v>0.35</v>
      </c>
    </row>
    <row r="6" spans="3:11" ht="21.5" x14ac:dyDescent="0.65">
      <c r="C6" s="555">
        <v>42855</v>
      </c>
      <c r="D6" s="559">
        <v>79785</v>
      </c>
      <c r="E6" s="560">
        <f>D6/D5-1</f>
        <v>2.8363949453756199E-2</v>
      </c>
      <c r="F6" s="35">
        <v>343.38716050555797</v>
      </c>
      <c r="G6" s="561">
        <f>F6/F5-1</f>
        <v>5.9475806451611213E-2</v>
      </c>
      <c r="J6" s="159" t="s">
        <v>681</v>
      </c>
      <c r="K6" s="254">
        <f>SLOPE(G6:G64,E6:E64)</f>
        <v>1.2667105582142586</v>
      </c>
    </row>
    <row r="7" spans="3:11" ht="21.5" x14ac:dyDescent="0.65">
      <c r="C7" s="555">
        <v>42886</v>
      </c>
      <c r="D7" s="559">
        <v>80513.3</v>
      </c>
      <c r="E7" s="560">
        <f t="shared" ref="E7:E64" si="0">D7/D6-1</f>
        <v>9.1282822585698753E-3</v>
      </c>
      <c r="F7" s="35">
        <v>362.598544937268</v>
      </c>
      <c r="G7" s="561">
        <f t="shared" ref="G7:G64" si="1">F7/F6-1</f>
        <v>5.5946717411989866E-2</v>
      </c>
      <c r="J7" s="166" t="s">
        <v>677</v>
      </c>
      <c r="K7" s="567">
        <f>(K5-K4)/K6+K4</f>
        <v>0.32262802276099056</v>
      </c>
    </row>
    <row r="8" spans="3:11" ht="21.5" x14ac:dyDescent="0.65">
      <c r="C8" s="555">
        <v>42916</v>
      </c>
      <c r="D8" s="559">
        <v>78704.5</v>
      </c>
      <c r="E8" s="560">
        <f t="shared" si="0"/>
        <v>-2.2465853467688035E-2</v>
      </c>
      <c r="F8" s="35">
        <v>323.78370700381402</v>
      </c>
      <c r="G8" s="561">
        <f t="shared" si="1"/>
        <v>-0.107046314651288</v>
      </c>
    </row>
    <row r="9" spans="3:11" ht="21.5" x14ac:dyDescent="0.65">
      <c r="C9" s="555">
        <v>42947</v>
      </c>
      <c r="D9" s="559">
        <v>81533.5</v>
      </c>
      <c r="E9" s="560">
        <f t="shared" si="0"/>
        <v>3.5944577501921815E-2</v>
      </c>
      <c r="F9" s="35">
        <v>348.13096225415302</v>
      </c>
      <c r="G9" s="561">
        <f t="shared" si="1"/>
        <v>7.519604823738768E-2</v>
      </c>
    </row>
    <row r="10" spans="3:11" ht="21.5" x14ac:dyDescent="0.65">
      <c r="C10" s="555">
        <v>42978</v>
      </c>
      <c r="D10" s="559">
        <v>83272.899999999994</v>
      </c>
      <c r="E10" s="560">
        <f t="shared" si="0"/>
        <v>2.1333562278081919E-2</v>
      </c>
      <c r="F10" s="35">
        <v>351.98344364108999</v>
      </c>
      <c r="G10" s="561">
        <f t="shared" si="1"/>
        <v>1.1066184294531212E-2</v>
      </c>
    </row>
    <row r="11" spans="3:11" ht="21.5" x14ac:dyDescent="0.65">
      <c r="C11" s="555">
        <v>43008</v>
      </c>
      <c r="D11" s="559">
        <v>85819</v>
      </c>
      <c r="E11" s="560">
        <f t="shared" si="0"/>
        <v>3.0575373260688821E-2</v>
      </c>
      <c r="F11" s="35">
        <v>382.43286383399402</v>
      </c>
      <c r="G11" s="561">
        <f t="shared" si="1"/>
        <v>8.6508103557145333E-2</v>
      </c>
    </row>
    <row r="12" spans="3:11" ht="21.5" x14ac:dyDescent="0.65">
      <c r="C12" s="555">
        <v>43039</v>
      </c>
      <c r="D12" s="559">
        <v>87649.9</v>
      </c>
      <c r="E12" s="560">
        <f t="shared" si="0"/>
        <v>2.1334436430161086E-2</v>
      </c>
      <c r="F12" s="35">
        <v>448.962253939172</v>
      </c>
      <c r="G12" s="561">
        <f t="shared" si="1"/>
        <v>0.17396358000774992</v>
      </c>
    </row>
    <row r="13" spans="3:11" ht="21.5" x14ac:dyDescent="0.65">
      <c r="C13" s="555">
        <v>43069</v>
      </c>
      <c r="D13" s="559">
        <v>91152.2</v>
      </c>
      <c r="E13" s="560">
        <f t="shared" si="0"/>
        <v>3.9957832239397861E-2</v>
      </c>
      <c r="F13" s="35">
        <v>511.19464557430399</v>
      </c>
      <c r="G13" s="561">
        <f t="shared" si="1"/>
        <v>0.13861386138613696</v>
      </c>
    </row>
    <row r="14" spans="3:11" ht="21.5" x14ac:dyDescent="0.65">
      <c r="C14" s="555">
        <v>43100</v>
      </c>
      <c r="D14" s="559">
        <v>95561.58</v>
      </c>
      <c r="E14" s="560">
        <f t="shared" si="0"/>
        <v>4.8373818733941754E-2</v>
      </c>
      <c r="F14" s="35">
        <v>525.27101987272704</v>
      </c>
      <c r="G14" s="561">
        <f t="shared" si="1"/>
        <v>2.7536231884058404E-2</v>
      </c>
    </row>
    <row r="15" spans="3:11" ht="21.5" x14ac:dyDescent="0.65">
      <c r="C15" s="555">
        <v>43131</v>
      </c>
      <c r="D15" s="559">
        <v>98133.52</v>
      </c>
      <c r="E15" s="560">
        <f t="shared" si="0"/>
        <v>2.6913954331855949E-2</v>
      </c>
      <c r="F15" s="35">
        <v>514.75078223916898</v>
      </c>
      <c r="G15" s="561">
        <f t="shared" si="1"/>
        <v>-2.0028208744710674E-2</v>
      </c>
    </row>
    <row r="16" spans="3:11" ht="21.5" x14ac:dyDescent="0.65">
      <c r="C16" s="555">
        <v>43159</v>
      </c>
      <c r="D16" s="559">
        <v>97961.75</v>
      </c>
      <c r="E16" s="560">
        <f t="shared" si="0"/>
        <v>-1.7503703117955904E-3</v>
      </c>
      <c r="F16" s="35">
        <v>520.75176286112799</v>
      </c>
      <c r="G16" s="561">
        <f t="shared" si="1"/>
        <v>1.1658031088082499E-2</v>
      </c>
    </row>
    <row r="17" spans="3:7" ht="21.5" x14ac:dyDescent="0.65">
      <c r="C17" s="555">
        <v>43190</v>
      </c>
      <c r="D17" s="559">
        <v>96938.880000000005</v>
      </c>
      <c r="E17" s="560">
        <f t="shared" si="0"/>
        <v>-1.0441524370481292E-2</v>
      </c>
      <c r="F17" s="35">
        <v>519.27003925076804</v>
      </c>
      <c r="G17" s="561">
        <f t="shared" si="1"/>
        <v>-2.8453549580302884E-3</v>
      </c>
    </row>
    <row r="18" spans="3:7" ht="21.5" x14ac:dyDescent="0.65">
      <c r="C18" s="555">
        <v>43220</v>
      </c>
      <c r="D18" s="559">
        <v>93586.93</v>
      </c>
      <c r="E18" s="560">
        <f t="shared" si="0"/>
        <v>-3.4577973254900529E-2</v>
      </c>
      <c r="F18" s="35">
        <v>554.53506117734298</v>
      </c>
      <c r="G18" s="561">
        <f t="shared" si="1"/>
        <v>6.7912683692394893E-2</v>
      </c>
    </row>
    <row r="19" spans="3:7" ht="21.5" x14ac:dyDescent="0.65">
      <c r="C19" s="555">
        <v>43251</v>
      </c>
      <c r="D19" s="559">
        <v>95577.68</v>
      </c>
      <c r="E19" s="560">
        <f t="shared" si="0"/>
        <v>2.1271666887673346E-2</v>
      </c>
      <c r="F19" s="35">
        <v>545.20020243207296</v>
      </c>
      <c r="G19" s="561">
        <f t="shared" si="1"/>
        <v>-1.6833667334669511E-2</v>
      </c>
    </row>
    <row r="20" spans="3:7" ht="21.5" x14ac:dyDescent="0.65">
      <c r="C20" s="555">
        <v>43281</v>
      </c>
      <c r="D20" s="559">
        <v>111528.19</v>
      </c>
      <c r="E20" s="560">
        <f t="shared" si="0"/>
        <v>0.16688530209145069</v>
      </c>
      <c r="F20" s="35">
        <v>564.01809228364903</v>
      </c>
      <c r="G20" s="561">
        <f t="shared" si="1"/>
        <v>3.4515559179236766E-2</v>
      </c>
    </row>
    <row r="21" spans="3:7" ht="21.5" x14ac:dyDescent="0.65">
      <c r="C21" s="555">
        <v>43312</v>
      </c>
      <c r="D21" s="559">
        <v>121173.48</v>
      </c>
      <c r="E21" s="560">
        <f t="shared" si="0"/>
        <v>8.6482977980723907E-2</v>
      </c>
      <c r="F21" s="35">
        <v>668.74447285856297</v>
      </c>
      <c r="G21" s="561">
        <f t="shared" si="1"/>
        <v>0.18567911563064943</v>
      </c>
    </row>
    <row r="22" spans="3:7" ht="21.5" x14ac:dyDescent="0.65">
      <c r="C22" s="555">
        <v>43343</v>
      </c>
      <c r="D22" s="559">
        <v>137472.35999999999</v>
      </c>
      <c r="E22" s="560">
        <f t="shared" si="0"/>
        <v>0.13450864000934848</v>
      </c>
      <c r="F22" s="35">
        <v>774.00980654926298</v>
      </c>
      <c r="G22" s="561">
        <f t="shared" si="1"/>
        <v>0.15740740740740788</v>
      </c>
    </row>
    <row r="23" spans="3:7" ht="21.5" x14ac:dyDescent="0.65">
      <c r="C23" s="555">
        <v>43373</v>
      </c>
      <c r="D23" s="559">
        <v>195104.01</v>
      </c>
      <c r="E23" s="560">
        <f t="shared" si="0"/>
        <v>0.41922354428191988</v>
      </c>
      <c r="F23" s="35">
        <v>1116.5587619605501</v>
      </c>
      <c r="G23" s="561">
        <f t="shared" si="1"/>
        <v>0.44256410256409984</v>
      </c>
    </row>
    <row r="24" spans="3:7" ht="21.5" x14ac:dyDescent="0.65">
      <c r="C24" s="555">
        <v>43404</v>
      </c>
      <c r="D24" s="559">
        <v>183367.34</v>
      </c>
      <c r="E24" s="560">
        <f t="shared" si="0"/>
        <v>-6.0155965015788349E-2</v>
      </c>
      <c r="F24" s="35">
        <v>1111.39869658356</v>
      </c>
      <c r="G24" s="561">
        <f t="shared" si="1"/>
        <v>-4.6214006398818119E-3</v>
      </c>
    </row>
    <row r="25" spans="3:7" ht="21.5" x14ac:dyDescent="0.65">
      <c r="C25" s="555">
        <v>43434</v>
      </c>
      <c r="D25" s="559">
        <v>163772.10999999999</v>
      </c>
      <c r="E25" s="560">
        <f t="shared" si="0"/>
        <v>-0.10686325056577695</v>
      </c>
      <c r="F25" s="35">
        <v>860.69890488277997</v>
      </c>
      <c r="G25" s="561">
        <f t="shared" si="1"/>
        <v>-0.22557142857143098</v>
      </c>
    </row>
    <row r="26" spans="3:7" ht="21.5" x14ac:dyDescent="0.65">
      <c r="C26" s="555">
        <v>43465</v>
      </c>
      <c r="D26" s="559">
        <v>161405.32</v>
      </c>
      <c r="E26" s="560">
        <f t="shared" si="0"/>
        <v>-1.4451728075067116E-2</v>
      </c>
      <c r="F26" s="35">
        <v>823.22889168367794</v>
      </c>
      <c r="G26" s="561">
        <f t="shared" si="1"/>
        <v>-4.3534403246632603E-2</v>
      </c>
    </row>
    <row r="27" spans="3:7" ht="21.5" x14ac:dyDescent="0.65">
      <c r="C27" s="555">
        <v>43496</v>
      </c>
      <c r="D27" s="559">
        <v>160294.85</v>
      </c>
      <c r="E27" s="560">
        <f t="shared" si="0"/>
        <v>-6.8800086639028146E-3</v>
      </c>
      <c r="F27" s="35">
        <v>877.21111408916499</v>
      </c>
      <c r="G27" s="561">
        <f t="shared" si="1"/>
        <v>6.5573770491803351E-2</v>
      </c>
    </row>
    <row r="28" spans="3:7" ht="21.5" x14ac:dyDescent="0.65">
      <c r="C28" s="555">
        <v>43524</v>
      </c>
      <c r="D28" s="559">
        <v>165295.07999999999</v>
      </c>
      <c r="E28" s="560">
        <f t="shared" si="0"/>
        <v>3.1193952893683097E-2</v>
      </c>
      <c r="F28" s="35">
        <v>885.30844744998797</v>
      </c>
      <c r="G28" s="561">
        <f t="shared" si="1"/>
        <v>9.2307692307691536E-3</v>
      </c>
    </row>
    <row r="29" spans="3:7" ht="21.5" x14ac:dyDescent="0.65">
      <c r="C29" s="555">
        <v>43555</v>
      </c>
      <c r="D29" s="559">
        <v>185281.1</v>
      </c>
      <c r="E29" s="560">
        <f t="shared" si="0"/>
        <v>0.12091116081615993</v>
      </c>
      <c r="F29" s="35">
        <v>974.85542814614905</v>
      </c>
      <c r="G29" s="561">
        <f t="shared" si="1"/>
        <v>0.10114777618364434</v>
      </c>
    </row>
    <row r="30" spans="3:7" ht="21.5" x14ac:dyDescent="0.65">
      <c r="C30" s="555">
        <v>43585</v>
      </c>
      <c r="D30" s="559">
        <v>216642</v>
      </c>
      <c r="E30" s="560">
        <f t="shared" si="0"/>
        <v>0.16926119285777119</v>
      </c>
      <c r="F30" s="35">
        <v>1254.2928147157299</v>
      </c>
      <c r="G30" s="561">
        <f t="shared" si="1"/>
        <v>0.28664495114006594</v>
      </c>
    </row>
    <row r="31" spans="3:7" ht="21.5" x14ac:dyDescent="0.65">
      <c r="C31" s="555">
        <v>43616</v>
      </c>
      <c r="D31" s="559">
        <v>224476.79999999999</v>
      </c>
      <c r="E31" s="560">
        <f t="shared" si="0"/>
        <v>3.616473260032671E-2</v>
      </c>
      <c r="F31" s="35">
        <v>1182.92514127083</v>
      </c>
      <c r="G31" s="561">
        <f t="shared" si="1"/>
        <v>-5.6898734177214139E-2</v>
      </c>
    </row>
    <row r="32" spans="3:7" ht="21.5" x14ac:dyDescent="0.65">
      <c r="C32" s="555">
        <v>43646</v>
      </c>
      <c r="D32" s="559">
        <v>248533</v>
      </c>
      <c r="E32" s="560">
        <f t="shared" si="0"/>
        <v>0.10716564027997544</v>
      </c>
      <c r="F32" s="35">
        <v>1270.0905533314501</v>
      </c>
      <c r="G32" s="561">
        <f t="shared" si="1"/>
        <v>7.368632977652112E-2</v>
      </c>
    </row>
    <row r="33" spans="3:7" ht="21.5" x14ac:dyDescent="0.65">
      <c r="C33" s="555">
        <v>43677</v>
      </c>
      <c r="D33" s="559">
        <v>254445.7</v>
      </c>
      <c r="E33" s="560">
        <f t="shared" si="0"/>
        <v>2.3790402079401973E-2</v>
      </c>
      <c r="F33" s="35">
        <v>1344.60834026626</v>
      </c>
      <c r="G33" s="561">
        <f t="shared" si="1"/>
        <v>5.8671239416236531E-2</v>
      </c>
    </row>
    <row r="34" spans="3:7" ht="21.5" x14ac:dyDescent="0.65">
      <c r="C34" s="555">
        <v>43708</v>
      </c>
      <c r="D34" s="559">
        <v>284139.2</v>
      </c>
      <c r="E34" s="560">
        <f t="shared" si="0"/>
        <v>0.11669876912834454</v>
      </c>
      <c r="F34" s="35">
        <v>1412.90873739119</v>
      </c>
      <c r="G34" s="561">
        <f t="shared" si="1"/>
        <v>5.079575596816932E-2</v>
      </c>
    </row>
    <row r="35" spans="3:7" ht="21.5" x14ac:dyDescent="0.65">
      <c r="C35" s="555">
        <v>43738</v>
      </c>
      <c r="D35" s="559">
        <v>324705.90000000002</v>
      </c>
      <c r="E35" s="560">
        <f t="shared" si="0"/>
        <v>0.1427705152967278</v>
      </c>
      <c r="F35" s="35">
        <v>1480.9416394882101</v>
      </c>
      <c r="G35" s="561">
        <f t="shared" si="1"/>
        <v>4.8150952921868662E-2</v>
      </c>
    </row>
    <row r="36" spans="3:7" ht="21.5" x14ac:dyDescent="0.65">
      <c r="C36" s="555">
        <v>43769</v>
      </c>
      <c r="D36" s="559">
        <v>309661.3</v>
      </c>
      <c r="E36" s="560">
        <f t="shared" si="0"/>
        <v>-4.6333004728278837E-2</v>
      </c>
      <c r="F36" s="35">
        <v>1651.3359722633299</v>
      </c>
      <c r="G36" s="561">
        <f t="shared" si="1"/>
        <v>0.11505810102956215</v>
      </c>
    </row>
    <row r="37" spans="3:7" ht="21.5" x14ac:dyDescent="0.65">
      <c r="C37" s="555">
        <v>43799</v>
      </c>
      <c r="D37" s="559">
        <v>314587.90000000002</v>
      </c>
      <c r="E37" s="560">
        <f t="shared" si="0"/>
        <v>1.5909640629939936E-2</v>
      </c>
      <c r="F37" s="35">
        <v>1524.8999890738401</v>
      </c>
      <c r="G37" s="561">
        <f t="shared" si="1"/>
        <v>-7.6565874730019967E-2</v>
      </c>
    </row>
    <row r="38" spans="3:7" ht="21.5" x14ac:dyDescent="0.65">
      <c r="C38" s="555">
        <v>43830</v>
      </c>
      <c r="D38" s="559">
        <v>377012.6</v>
      </c>
      <c r="E38" s="560">
        <f t="shared" si="0"/>
        <v>0.19843325188285998</v>
      </c>
      <c r="F38" s="35">
        <v>2047.48478851035</v>
      </c>
      <c r="G38" s="561">
        <f t="shared" si="1"/>
        <v>0.34270103166169341</v>
      </c>
    </row>
    <row r="39" spans="3:7" ht="21.5" x14ac:dyDescent="0.65">
      <c r="C39" s="555">
        <v>43861</v>
      </c>
      <c r="D39" s="559">
        <v>427139.4</v>
      </c>
      <c r="E39" s="560">
        <f t="shared" si="0"/>
        <v>0.13295789053204077</v>
      </c>
      <c r="F39" s="35">
        <v>2035.2510390950299</v>
      </c>
      <c r="G39" s="561">
        <f t="shared" si="1"/>
        <v>-5.9750135795737513E-3</v>
      </c>
    </row>
    <row r="40" spans="3:7" ht="21.5" x14ac:dyDescent="0.65">
      <c r="C40" s="555">
        <v>43890</v>
      </c>
      <c r="D40" s="559">
        <v>505801</v>
      </c>
      <c r="E40" s="560">
        <f t="shared" si="0"/>
        <v>0.18415908249157065</v>
      </c>
      <c r="F40" s="35">
        <v>2083.6299572374501</v>
      </c>
      <c r="G40" s="561">
        <f t="shared" si="1"/>
        <v>2.3770491803277283E-2</v>
      </c>
    </row>
    <row r="41" spans="3:7" ht="21.5" x14ac:dyDescent="0.65">
      <c r="C41" s="555">
        <v>43921</v>
      </c>
      <c r="D41" s="559">
        <v>547658.5</v>
      </c>
      <c r="E41" s="560">
        <f t="shared" si="0"/>
        <v>8.2754877906528357E-2</v>
      </c>
      <c r="F41" s="35">
        <v>1721.80755028722</v>
      </c>
      <c r="G41" s="561">
        <f t="shared" si="1"/>
        <v>-0.1736500311360214</v>
      </c>
    </row>
    <row r="42" spans="3:7" ht="21.5" x14ac:dyDescent="0.65">
      <c r="C42" s="555">
        <v>43951</v>
      </c>
      <c r="D42" s="559">
        <v>878101.2</v>
      </c>
      <c r="E42" s="560">
        <f t="shared" si="0"/>
        <v>0.60337363521245435</v>
      </c>
      <c r="F42" s="35">
        <v>2722.7506842683902</v>
      </c>
      <c r="G42" s="561">
        <f t="shared" si="1"/>
        <v>0.58133275917752814</v>
      </c>
    </row>
    <row r="43" spans="3:7" ht="21.5" x14ac:dyDescent="0.65">
      <c r="C43" s="555">
        <v>43982</v>
      </c>
      <c r="D43" s="559">
        <v>970412.9</v>
      </c>
      <c r="E43" s="560">
        <f t="shared" si="0"/>
        <v>0.1051264933927889</v>
      </c>
      <c r="F43" s="35">
        <v>3151.1172736444</v>
      </c>
      <c r="G43" s="561">
        <f t="shared" si="1"/>
        <v>0.15732861324800762</v>
      </c>
    </row>
    <row r="44" spans="3:7" ht="21.5" x14ac:dyDescent="0.65">
      <c r="C44" s="555">
        <v>44012</v>
      </c>
      <c r="D44" s="559">
        <v>1546845.4</v>
      </c>
      <c r="E44" s="560">
        <f t="shared" si="0"/>
        <v>0.59400745806243904</v>
      </c>
      <c r="F44" s="35">
        <v>6526.5199532364204</v>
      </c>
      <c r="G44" s="561">
        <f t="shared" si="1"/>
        <v>1.0711764705882318</v>
      </c>
    </row>
    <row r="45" spans="3:7" ht="21.5" x14ac:dyDescent="0.65">
      <c r="C45" s="555">
        <v>44043</v>
      </c>
      <c r="D45" s="559">
        <v>1904324.2</v>
      </c>
      <c r="E45" s="560">
        <f t="shared" si="0"/>
        <v>0.23110182827579284</v>
      </c>
      <c r="F45" s="35">
        <v>10202.9393390115</v>
      </c>
      <c r="G45" s="561">
        <f t="shared" si="1"/>
        <v>0.56330470329014903</v>
      </c>
    </row>
    <row r="46" spans="3:7" ht="21.5" x14ac:dyDescent="0.65">
      <c r="C46" s="555">
        <v>44074</v>
      </c>
      <c r="D46" s="559">
        <v>1728035.3</v>
      </c>
      <c r="E46" s="560">
        <f t="shared" si="0"/>
        <v>-9.2572945299965181E-2</v>
      </c>
      <c r="F46" s="35">
        <v>8293.8576831217506</v>
      </c>
      <c r="G46" s="561">
        <f t="shared" si="1"/>
        <v>-0.1871109483705613</v>
      </c>
    </row>
    <row r="47" spans="3:7" ht="21.5" x14ac:dyDescent="0.65">
      <c r="C47" s="555">
        <v>44104</v>
      </c>
      <c r="D47" s="559">
        <v>1503426.8</v>
      </c>
      <c r="E47" s="560">
        <f t="shared" si="0"/>
        <v>-0.12997911558866881</v>
      </c>
      <c r="F47" s="35">
        <v>7159.9902025688398</v>
      </c>
      <c r="G47" s="561">
        <f t="shared" si="1"/>
        <v>-0.13671171171171226</v>
      </c>
    </row>
    <row r="48" spans="3:7" ht="21.5" x14ac:dyDescent="0.65">
      <c r="C48" s="555">
        <v>44135</v>
      </c>
      <c r="D48" s="559">
        <v>1305898.7</v>
      </c>
      <c r="E48" s="560">
        <f t="shared" si="0"/>
        <v>-0.13138524602594559</v>
      </c>
      <c r="F48" s="35">
        <v>5381.6675642057999</v>
      </c>
      <c r="G48" s="561">
        <f t="shared" si="1"/>
        <v>-0.24836942342812407</v>
      </c>
    </row>
    <row r="49" spans="3:7" ht="21.5" x14ac:dyDescent="0.65">
      <c r="C49" s="555">
        <v>44165</v>
      </c>
      <c r="D49" s="559">
        <v>1465975.32</v>
      </c>
      <c r="E49" s="560">
        <f t="shared" si="0"/>
        <v>0.12257966104109008</v>
      </c>
      <c r="F49" s="35">
        <v>5536.71039927317</v>
      </c>
      <c r="G49" s="561">
        <f t="shared" si="1"/>
        <v>2.8809441166262495E-2</v>
      </c>
    </row>
    <row r="50" spans="3:7" ht="21.5" x14ac:dyDescent="0.65">
      <c r="C50" s="555">
        <v>44196</v>
      </c>
      <c r="D50" s="559">
        <v>1397797.19</v>
      </c>
      <c r="E50" s="560">
        <f t="shared" si="0"/>
        <v>-4.6507010772869006E-2</v>
      </c>
      <c r="F50" s="35">
        <v>4853.0275362050197</v>
      </c>
      <c r="G50" s="561">
        <f t="shared" si="1"/>
        <v>-0.12348178137651922</v>
      </c>
    </row>
    <row r="51" spans="3:7" ht="21.5" x14ac:dyDescent="0.65">
      <c r="C51" s="555">
        <v>44227</v>
      </c>
      <c r="D51" s="559">
        <v>1251041.71</v>
      </c>
      <c r="E51" s="560">
        <f t="shared" si="0"/>
        <v>-0.10499053872042763</v>
      </c>
      <c r="F51" s="35">
        <v>4191.76050471288</v>
      </c>
      <c r="G51" s="561">
        <f t="shared" si="1"/>
        <v>-0.13625866050808333</v>
      </c>
    </row>
    <row r="52" spans="3:7" ht="21.5" x14ac:dyDescent="0.65">
      <c r="C52" s="555">
        <v>44255</v>
      </c>
      <c r="D52" s="559">
        <v>1185603.68</v>
      </c>
      <c r="E52" s="560">
        <f t="shared" si="0"/>
        <v>-5.2306833159063926E-2</v>
      </c>
      <c r="F52" s="35">
        <v>4382.2950731089204</v>
      </c>
      <c r="G52" s="561">
        <f t="shared" si="1"/>
        <v>4.5454545454545636E-2</v>
      </c>
    </row>
    <row r="53" spans="3:7" ht="21.5" x14ac:dyDescent="0.65">
      <c r="C53" s="555">
        <v>44286</v>
      </c>
      <c r="D53" s="559">
        <v>1294521.6399999999</v>
      </c>
      <c r="E53" s="560">
        <f t="shared" si="0"/>
        <v>9.1867090021177988E-2</v>
      </c>
      <c r="F53" s="35">
        <v>5064.1099502123998</v>
      </c>
      <c r="G53" s="561">
        <f t="shared" si="1"/>
        <v>0.15558397271952318</v>
      </c>
    </row>
    <row r="54" spans="3:7" ht="21.5" x14ac:dyDescent="0.65">
      <c r="C54" s="555">
        <v>44316</v>
      </c>
      <c r="D54" s="559">
        <v>1207850.3500000001</v>
      </c>
      <c r="E54" s="560">
        <f t="shared" si="0"/>
        <v>-6.6952368598488521E-2</v>
      </c>
      <c r="F54" s="35">
        <v>4062.8694731508599</v>
      </c>
      <c r="G54" s="561">
        <f t="shared" si="1"/>
        <v>-0.19771302102545096</v>
      </c>
    </row>
    <row r="55" spans="3:7" ht="21.5" x14ac:dyDescent="0.65">
      <c r="C55" s="555">
        <v>44347</v>
      </c>
      <c r="D55" s="559">
        <v>1145930.02</v>
      </c>
      <c r="E55" s="560">
        <f t="shared" si="0"/>
        <v>-5.1264902146197278E-2</v>
      </c>
      <c r="F55" s="35">
        <v>3956.3942731648299</v>
      </c>
      <c r="G55" s="561">
        <f t="shared" si="1"/>
        <v>-2.6206896551726033E-2</v>
      </c>
    </row>
    <row r="56" spans="3:7" ht="21.5" x14ac:dyDescent="0.65">
      <c r="C56" s="555">
        <v>44377</v>
      </c>
      <c r="D56" s="559">
        <v>1256978.21</v>
      </c>
      <c r="E56" s="560">
        <f t="shared" si="0"/>
        <v>9.6906606914792137E-2</v>
      </c>
      <c r="F56" s="35">
        <v>3988.1500345641698</v>
      </c>
      <c r="G56" s="561">
        <f t="shared" si="1"/>
        <v>8.0264400377714207E-3</v>
      </c>
    </row>
    <row r="57" spans="3:7" ht="21.5" x14ac:dyDescent="0.65">
      <c r="C57" s="555">
        <v>44408</v>
      </c>
      <c r="D57" s="559">
        <v>1351500.09</v>
      </c>
      <c r="E57" s="560">
        <f t="shared" si="0"/>
        <v>7.5197707683413384E-2</v>
      </c>
      <c r="F57" s="35">
        <v>3988.1500345641698</v>
      </c>
      <c r="G57" s="561">
        <f t="shared" si="1"/>
        <v>0</v>
      </c>
    </row>
    <row r="58" spans="3:7" ht="21.5" x14ac:dyDescent="0.65">
      <c r="C58" s="555">
        <v>44439</v>
      </c>
      <c r="D58" s="559">
        <v>1496150.82</v>
      </c>
      <c r="E58" s="560">
        <f t="shared" si="0"/>
        <v>0.10702975979824014</v>
      </c>
      <c r="F58" s="35">
        <v>5980</v>
      </c>
      <c r="G58" s="561">
        <f t="shared" si="1"/>
        <v>0.49944208421775249</v>
      </c>
    </row>
    <row r="59" spans="3:7" ht="21.5" x14ac:dyDescent="0.65">
      <c r="C59" s="555">
        <v>44469</v>
      </c>
      <c r="D59" s="559">
        <v>1436984.25</v>
      </c>
      <c r="E59" s="560">
        <f t="shared" si="0"/>
        <v>-3.954585942077693E-2</v>
      </c>
      <c r="F59" s="35">
        <v>6760</v>
      </c>
      <c r="G59" s="561">
        <f t="shared" si="1"/>
        <v>0.13043478260869557</v>
      </c>
    </row>
    <row r="60" spans="3:7" ht="21.5" x14ac:dyDescent="0.65">
      <c r="C60" s="555">
        <v>44500</v>
      </c>
      <c r="D60" s="559">
        <v>1340290.83</v>
      </c>
      <c r="E60" s="560">
        <f t="shared" si="0"/>
        <v>-6.7289129995683594E-2</v>
      </c>
      <c r="F60" s="35">
        <v>5780</v>
      </c>
      <c r="G60" s="561">
        <f t="shared" si="1"/>
        <v>-0.1449704142011834</v>
      </c>
    </row>
    <row r="61" spans="3:7" ht="21.5" x14ac:dyDescent="0.65">
      <c r="C61" s="555">
        <v>44530</v>
      </c>
      <c r="D61" s="559">
        <v>1357128.91</v>
      </c>
      <c r="E61" s="560">
        <f t="shared" si="0"/>
        <v>1.2563004702494274E-2</v>
      </c>
      <c r="F61" s="35">
        <v>5990</v>
      </c>
      <c r="G61" s="561">
        <f t="shared" si="1"/>
        <v>3.6332179930795849E-2</v>
      </c>
    </row>
    <row r="62" spans="3:7" ht="21.5" x14ac:dyDescent="0.65">
      <c r="C62" s="555">
        <v>44561</v>
      </c>
      <c r="D62" s="559">
        <v>1397311.44</v>
      </c>
      <c r="E62" s="560">
        <f t="shared" si="0"/>
        <v>2.9608484281717917E-2</v>
      </c>
      <c r="F62" s="35">
        <v>6550</v>
      </c>
      <c r="G62" s="561">
        <f t="shared" si="1"/>
        <v>9.3489148580968351E-2</v>
      </c>
    </row>
    <row r="63" spans="3:7" ht="21.5" x14ac:dyDescent="0.65">
      <c r="C63" s="555">
        <v>44592</v>
      </c>
      <c r="D63" s="559">
        <v>1294619.06</v>
      </c>
      <c r="E63" s="560">
        <f t="shared" si="0"/>
        <v>-7.3492835641565946E-2</v>
      </c>
      <c r="F63" s="35">
        <v>6750</v>
      </c>
      <c r="G63" s="561">
        <f t="shared" si="1"/>
        <v>3.0534351145038219E-2</v>
      </c>
    </row>
    <row r="64" spans="3:7" ht="21.5" x14ac:dyDescent="0.65">
      <c r="C64" s="555">
        <v>44620</v>
      </c>
      <c r="D64" s="562">
        <v>1284160.06</v>
      </c>
      <c r="E64" s="563">
        <f t="shared" si="0"/>
        <v>-8.0788243608895804E-3</v>
      </c>
      <c r="F64" s="564">
        <v>6680</v>
      </c>
      <c r="G64" s="565">
        <f t="shared" si="1"/>
        <v>-1.0370370370370363E-2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3"/>
  <sheetViews>
    <sheetView zoomScale="70" zoomScaleNormal="70" workbookViewId="0">
      <selection activeCell="B2" sqref="B2:C2"/>
    </sheetView>
  </sheetViews>
  <sheetFormatPr defaultColWidth="8.90625" defaultRowHeight="16.7" x14ac:dyDescent="0.55000000000000004"/>
  <cols>
    <col min="1" max="5" width="8.90625" style="137"/>
    <col min="6" max="6" width="11.6328125" style="137" bestFit="1" customWidth="1"/>
    <col min="7" max="7" width="11.6328125" style="137" customWidth="1"/>
    <col min="8" max="16384" width="8.90625" style="137"/>
  </cols>
  <sheetData>
    <row r="2" spans="2:18" x14ac:dyDescent="0.55000000000000004">
      <c r="B2" s="600" t="s">
        <v>901</v>
      </c>
      <c r="C2" s="600"/>
    </row>
    <row r="3" spans="2:18" x14ac:dyDescent="0.55000000000000004">
      <c r="B3" s="598" t="s">
        <v>684</v>
      </c>
      <c r="C3" s="599"/>
    </row>
    <row r="4" spans="2:18" x14ac:dyDescent="0.55000000000000004">
      <c r="B4" s="140" t="s">
        <v>682</v>
      </c>
      <c r="C4" s="138" t="s">
        <v>683</v>
      </c>
      <c r="G4" s="143"/>
      <c r="H4" s="134"/>
      <c r="I4" s="134"/>
      <c r="J4" s="134"/>
      <c r="K4" s="134"/>
      <c r="L4" s="134"/>
      <c r="M4" s="134"/>
      <c r="N4" s="134"/>
      <c r="O4" s="134"/>
      <c r="P4" s="134"/>
      <c r="Q4" s="134"/>
      <c r="R4" s="134"/>
    </row>
    <row r="5" spans="2:18" x14ac:dyDescent="0.55000000000000004">
      <c r="B5" s="140">
        <v>1400</v>
      </c>
      <c r="C5" s="150">
        <v>7.6034092253319052</v>
      </c>
      <c r="G5" s="144"/>
      <c r="H5" s="134"/>
      <c r="I5" s="134"/>
      <c r="J5" s="134"/>
      <c r="K5" s="134"/>
      <c r="L5" s="134"/>
      <c r="M5" s="134"/>
      <c r="N5" s="134"/>
      <c r="O5" s="134"/>
      <c r="P5" s="134"/>
      <c r="Q5" s="134"/>
      <c r="R5" s="134"/>
    </row>
    <row r="6" spans="2:18" x14ac:dyDescent="0.55000000000000004">
      <c r="B6" s="140">
        <v>1399</v>
      </c>
      <c r="C6" s="150">
        <v>29.764736163538277</v>
      </c>
      <c r="F6" s="145" t="s">
        <v>686</v>
      </c>
      <c r="G6" s="153">
        <f>C15</f>
        <v>10.072790692087528</v>
      </c>
      <c r="J6" s="134"/>
      <c r="K6" s="134"/>
      <c r="L6" s="134"/>
      <c r="M6" s="134"/>
      <c r="N6" s="134"/>
      <c r="O6" s="134"/>
      <c r="P6" s="134"/>
      <c r="Q6" s="134"/>
      <c r="R6" s="134"/>
    </row>
    <row r="7" spans="2:18" x14ac:dyDescent="0.55000000000000004">
      <c r="B7" s="140">
        <v>1398</v>
      </c>
      <c r="C7" s="150">
        <v>5.6798916843474787</v>
      </c>
      <c r="F7" s="146" t="s">
        <v>687</v>
      </c>
      <c r="G7" s="147">
        <f>'پیش‌بینی صورت سود و زیان'!D20</f>
        <v>1480.5649834703929</v>
      </c>
      <c r="J7" s="134"/>
      <c r="K7" s="134"/>
      <c r="L7" s="134"/>
      <c r="M7" s="134"/>
      <c r="N7" s="134"/>
      <c r="O7" s="134"/>
      <c r="P7" s="134"/>
      <c r="Q7" s="134"/>
      <c r="R7" s="134"/>
    </row>
    <row r="8" spans="2:18" x14ac:dyDescent="0.55000000000000004">
      <c r="B8" s="140">
        <v>1397</v>
      </c>
      <c r="C8" s="150">
        <v>7.0559762949327833</v>
      </c>
      <c r="F8" s="148" t="s">
        <v>688</v>
      </c>
      <c r="G8" s="171">
        <f>G7*G6</f>
        <v>14913.421184531298</v>
      </c>
      <c r="J8" s="134"/>
      <c r="K8" s="134"/>
      <c r="L8" s="134"/>
      <c r="M8" s="134"/>
      <c r="N8" s="134"/>
      <c r="O8" s="134"/>
      <c r="P8" s="134"/>
      <c r="Q8" s="134"/>
      <c r="R8" s="134"/>
    </row>
    <row r="9" spans="2:18" x14ac:dyDescent="0.55000000000000004">
      <c r="B9" s="140">
        <v>1396</v>
      </c>
      <c r="C9" s="150">
        <v>6.1267525696269738</v>
      </c>
      <c r="G9" s="144"/>
      <c r="H9" s="134"/>
      <c r="I9" s="134"/>
      <c r="J9" s="134"/>
      <c r="K9" s="134"/>
      <c r="L9" s="134"/>
      <c r="M9" s="134"/>
      <c r="N9" s="134"/>
      <c r="O9" s="134"/>
      <c r="P9" s="134"/>
      <c r="Q9" s="134"/>
      <c r="R9" s="134"/>
    </row>
    <row r="10" spans="2:18" x14ac:dyDescent="0.55000000000000004">
      <c r="B10" s="140">
        <v>1395</v>
      </c>
      <c r="C10" s="150">
        <v>11.457272204003299</v>
      </c>
      <c r="G10" s="144"/>
      <c r="H10" s="134"/>
      <c r="I10" s="134"/>
      <c r="J10" s="134"/>
      <c r="K10" s="134"/>
      <c r="L10" s="134"/>
      <c r="M10" s="134"/>
      <c r="N10" s="134"/>
      <c r="O10" s="134"/>
      <c r="P10" s="134"/>
      <c r="Q10" s="134"/>
      <c r="R10" s="134"/>
    </row>
    <row r="11" spans="2:18" x14ac:dyDescent="0.55000000000000004">
      <c r="B11" s="140">
        <v>1394</v>
      </c>
      <c r="C11" s="150">
        <v>5.5758158401357996</v>
      </c>
      <c r="E11" s="134"/>
      <c r="F11" s="134"/>
      <c r="G11" s="134"/>
      <c r="H11" s="134"/>
      <c r="I11" s="134"/>
      <c r="J11" s="134"/>
      <c r="K11" s="134"/>
      <c r="L11" s="134"/>
      <c r="M11" s="134"/>
      <c r="N11" s="134"/>
      <c r="O11" s="134"/>
      <c r="P11" s="134"/>
      <c r="Q11" s="134"/>
      <c r="R11" s="134"/>
    </row>
    <row r="12" spans="2:18" x14ac:dyDescent="0.55000000000000004">
      <c r="B12" s="140">
        <v>1393</v>
      </c>
      <c r="C12" s="150">
        <v>6.0747518101029039</v>
      </c>
      <c r="E12" s="134"/>
      <c r="F12" s="134"/>
      <c r="G12" s="134"/>
      <c r="H12" s="134"/>
      <c r="I12" s="134"/>
      <c r="J12" s="134"/>
      <c r="K12" s="134"/>
      <c r="L12" s="134"/>
      <c r="M12" s="134"/>
      <c r="N12" s="134"/>
      <c r="O12" s="134"/>
      <c r="P12" s="134"/>
      <c r="Q12" s="134"/>
      <c r="R12" s="134"/>
    </row>
    <row r="13" spans="2:18" x14ac:dyDescent="0.55000000000000004">
      <c r="B13" s="140">
        <v>1392</v>
      </c>
      <c r="C13" s="150">
        <v>11.316510436768311</v>
      </c>
      <c r="E13" s="134"/>
      <c r="F13" s="134"/>
      <c r="G13" s="134"/>
      <c r="H13" s="134"/>
      <c r="I13" s="134"/>
      <c r="J13" s="134"/>
      <c r="K13" s="134"/>
      <c r="L13" s="134"/>
      <c r="M13" s="134"/>
      <c r="N13" s="134"/>
      <c r="O13" s="134"/>
      <c r="P13" s="134"/>
      <c r="Q13" s="134"/>
      <c r="R13" s="134"/>
    </row>
    <row r="14" spans="2:18" x14ac:dyDescent="0.55000000000000004">
      <c r="C14" s="151"/>
      <c r="E14" s="134"/>
      <c r="F14" s="134"/>
      <c r="G14" s="134"/>
      <c r="H14" s="134"/>
      <c r="I14" s="134"/>
      <c r="J14" s="134"/>
      <c r="K14" s="134"/>
      <c r="L14" s="134"/>
      <c r="M14" s="134"/>
      <c r="N14" s="134"/>
      <c r="O14" s="134"/>
      <c r="P14" s="134"/>
      <c r="Q14" s="134"/>
      <c r="R14" s="134"/>
    </row>
    <row r="15" spans="2:18" x14ac:dyDescent="0.55000000000000004">
      <c r="B15" s="139" t="s">
        <v>685</v>
      </c>
      <c r="C15" s="152">
        <f>AVERAGE(C5:C13)</f>
        <v>10.072790692087528</v>
      </c>
      <c r="E15" s="134"/>
      <c r="F15" s="134"/>
      <c r="G15" s="134"/>
      <c r="H15" s="134"/>
      <c r="I15" s="134"/>
      <c r="J15" s="134"/>
      <c r="K15" s="134"/>
      <c r="L15" s="134"/>
      <c r="M15" s="134"/>
      <c r="N15" s="134"/>
      <c r="O15" s="134"/>
      <c r="P15" s="134"/>
      <c r="Q15" s="134"/>
      <c r="R15" s="134"/>
    </row>
    <row r="16" spans="2:18" x14ac:dyDescent="0.55000000000000004">
      <c r="E16" s="134"/>
      <c r="F16" s="134"/>
      <c r="G16" s="134"/>
      <c r="H16" s="134"/>
      <c r="I16" s="134"/>
      <c r="J16" s="134"/>
      <c r="K16" s="134"/>
      <c r="L16" s="134"/>
      <c r="M16" s="134"/>
      <c r="N16" s="134"/>
      <c r="O16" s="134"/>
      <c r="P16" s="134"/>
      <c r="Q16" s="134"/>
      <c r="R16" s="134"/>
    </row>
    <row r="17" spans="5:18" x14ac:dyDescent="0.55000000000000004">
      <c r="E17" s="134"/>
      <c r="F17" s="134"/>
      <c r="G17" s="134"/>
      <c r="H17" s="134"/>
      <c r="I17" s="134"/>
      <c r="J17" s="134"/>
      <c r="K17" s="134"/>
      <c r="L17" s="134"/>
      <c r="M17" s="134"/>
      <c r="N17" s="134"/>
      <c r="O17" s="134"/>
      <c r="P17" s="134"/>
      <c r="Q17" s="134"/>
      <c r="R17" s="134"/>
    </row>
    <row r="18" spans="5:18" x14ac:dyDescent="0.55000000000000004">
      <c r="E18" s="134"/>
      <c r="F18" s="134"/>
      <c r="G18" s="134"/>
      <c r="H18" s="134"/>
      <c r="I18" s="134"/>
      <c r="J18" s="134"/>
      <c r="K18" s="134"/>
      <c r="L18" s="134"/>
      <c r="M18" s="134"/>
      <c r="N18" s="134"/>
      <c r="O18" s="134"/>
      <c r="P18" s="134"/>
      <c r="Q18" s="134"/>
      <c r="R18" s="134"/>
    </row>
    <row r="19" spans="5:18" x14ac:dyDescent="0.55000000000000004">
      <c r="E19" s="134"/>
      <c r="F19" s="134"/>
      <c r="G19" s="134"/>
      <c r="H19" s="134"/>
      <c r="I19" s="134"/>
      <c r="J19" s="134"/>
      <c r="K19" s="134"/>
      <c r="L19" s="134"/>
      <c r="M19" s="134"/>
      <c r="N19" s="134"/>
      <c r="O19" s="134"/>
      <c r="P19" s="134"/>
      <c r="Q19" s="134"/>
      <c r="R19" s="134"/>
    </row>
    <row r="20" spans="5:18" x14ac:dyDescent="0.55000000000000004">
      <c r="E20" s="134"/>
      <c r="F20" s="134"/>
      <c r="G20" s="134"/>
      <c r="H20" s="134"/>
      <c r="I20" s="134"/>
      <c r="J20" s="134"/>
      <c r="K20" s="134"/>
      <c r="L20" s="134"/>
      <c r="M20" s="134"/>
      <c r="N20" s="134"/>
      <c r="O20" s="134"/>
      <c r="P20" s="134"/>
      <c r="Q20" s="134"/>
      <c r="R20" s="134"/>
    </row>
    <row r="21" spans="5:18" x14ac:dyDescent="0.55000000000000004">
      <c r="E21" s="134"/>
      <c r="F21" s="134"/>
      <c r="G21" s="134"/>
      <c r="H21" s="134"/>
      <c r="I21" s="134"/>
      <c r="J21" s="134"/>
      <c r="K21" s="134"/>
      <c r="L21" s="134"/>
      <c r="M21" s="134"/>
      <c r="N21" s="134"/>
      <c r="O21" s="134"/>
      <c r="P21" s="134"/>
      <c r="Q21" s="134"/>
      <c r="R21" s="134"/>
    </row>
    <row r="22" spans="5:18" x14ac:dyDescent="0.55000000000000004">
      <c r="E22" s="134"/>
      <c r="F22" s="134"/>
      <c r="G22" s="134"/>
      <c r="H22" s="134"/>
      <c r="I22" s="134"/>
      <c r="J22" s="134"/>
      <c r="K22" s="134"/>
      <c r="L22" s="134"/>
      <c r="M22" s="134"/>
      <c r="N22" s="134"/>
      <c r="O22" s="134"/>
      <c r="P22" s="134"/>
      <c r="Q22" s="134"/>
      <c r="R22" s="134"/>
    </row>
    <row r="23" spans="5:18" x14ac:dyDescent="0.55000000000000004">
      <c r="E23" s="134"/>
      <c r="F23" s="134"/>
      <c r="G23" s="134"/>
      <c r="H23" s="134"/>
      <c r="I23" s="134"/>
      <c r="J23" s="134"/>
      <c r="K23" s="134"/>
      <c r="L23" s="134"/>
      <c r="M23" s="134"/>
      <c r="N23" s="134"/>
      <c r="O23" s="134"/>
      <c r="P23" s="134"/>
      <c r="Q23" s="134"/>
      <c r="R23" s="134"/>
    </row>
  </sheetData>
  <mergeCells count="2">
    <mergeCell ref="B3:C3"/>
    <mergeCell ref="B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workbookViewId="0">
      <selection activeCell="D11" sqref="D11"/>
    </sheetView>
  </sheetViews>
  <sheetFormatPr defaultRowHeight="13.45" x14ac:dyDescent="0.25"/>
  <cols>
    <col min="5" max="5" width="20.6328125" bestFit="1" customWidth="1"/>
    <col min="7" max="7" width="23" bestFit="1" customWidth="1"/>
  </cols>
  <sheetData>
    <row r="2" spans="2:6" x14ac:dyDescent="0.25">
      <c r="B2" s="602" t="s">
        <v>901</v>
      </c>
      <c r="C2" s="602"/>
    </row>
    <row r="3" spans="2:6" ht="16.7" x14ac:dyDescent="0.55000000000000004">
      <c r="B3" s="601" t="s">
        <v>684</v>
      </c>
      <c r="C3" s="601"/>
    </row>
    <row r="4" spans="2:6" ht="16.7" x14ac:dyDescent="0.55000000000000004">
      <c r="B4" s="141" t="s">
        <v>682</v>
      </c>
      <c r="C4" s="135" t="s">
        <v>689</v>
      </c>
    </row>
    <row r="5" spans="2:6" ht="16.7" x14ac:dyDescent="0.55000000000000004">
      <c r="B5" s="141">
        <v>1400</v>
      </c>
      <c r="C5" s="149">
        <v>0.86635584139047628</v>
      </c>
      <c r="E5" s="145" t="s">
        <v>691</v>
      </c>
      <c r="F5" s="153">
        <f>C15</f>
        <v>0.61097956773891671</v>
      </c>
    </row>
    <row r="6" spans="2:6" ht="16.7" x14ac:dyDescent="0.55000000000000004">
      <c r="B6" s="141">
        <v>1399</v>
      </c>
      <c r="C6" s="149">
        <v>1.5423608335337449</v>
      </c>
      <c r="E6" s="146" t="s">
        <v>692</v>
      </c>
      <c r="F6" s="147">
        <f>'پیش بینی فروش'!D19*10000000000/134341922000</f>
        <v>15065.146762867862</v>
      </c>
    </row>
    <row r="7" spans="2:6" ht="16.7" x14ac:dyDescent="0.55000000000000004">
      <c r="B7" s="141">
        <v>1398</v>
      </c>
      <c r="C7" s="149">
        <v>0.54109602326470596</v>
      </c>
      <c r="E7" s="148" t="s">
        <v>688</v>
      </c>
      <c r="F7" s="171">
        <f>F6*F5</f>
        <v>9204.4968571003465</v>
      </c>
    </row>
    <row r="8" spans="2:6" ht="16.7" x14ac:dyDescent="0.55000000000000004">
      <c r="B8" s="141">
        <v>1397</v>
      </c>
      <c r="C8" s="149">
        <v>0.53647918779004167</v>
      </c>
    </row>
    <row r="9" spans="2:6" ht="16.7" x14ac:dyDescent="0.55000000000000004">
      <c r="B9" s="141">
        <v>1396</v>
      </c>
      <c r="C9" s="149">
        <v>0.44392416221203296</v>
      </c>
    </row>
    <row r="10" spans="2:6" ht="16.7" x14ac:dyDescent="0.55000000000000004">
      <c r="B10" s="141">
        <v>1395</v>
      </c>
      <c r="C10" s="149">
        <v>0.36736410907561978</v>
      </c>
    </row>
    <row r="11" spans="2:6" ht="16.7" x14ac:dyDescent="0.55000000000000004">
      <c r="B11" s="141">
        <v>1394</v>
      </c>
      <c r="C11" s="149">
        <v>0.21018095254732513</v>
      </c>
    </row>
    <row r="12" spans="2:6" ht="16.7" x14ac:dyDescent="0.55000000000000004">
      <c r="B12" s="141">
        <v>1393</v>
      </c>
      <c r="C12" s="149">
        <v>0.38914607856099581</v>
      </c>
    </row>
    <row r="13" spans="2:6" ht="16.7" x14ac:dyDescent="0.55000000000000004">
      <c r="B13" s="141">
        <v>1392</v>
      </c>
      <c r="C13" s="149">
        <v>0.60190892127530848</v>
      </c>
    </row>
    <row r="15" spans="2:6" ht="16.7" x14ac:dyDescent="0.55000000000000004">
      <c r="B15" s="136" t="s">
        <v>690</v>
      </c>
      <c r="C15" s="154">
        <f>AVERAGE(C5:C13)</f>
        <v>0.61097956773891671</v>
      </c>
    </row>
  </sheetData>
  <mergeCells count="2">
    <mergeCell ref="B3:C3"/>
    <mergeCell ref="B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N13"/>
  <sheetViews>
    <sheetView zoomScale="80" zoomScaleNormal="80" workbookViewId="0">
      <selection activeCell="E12" sqref="E12"/>
    </sheetView>
  </sheetViews>
  <sheetFormatPr defaultColWidth="8.90625" defaultRowHeight="16.7" x14ac:dyDescent="0.55000000000000004"/>
  <cols>
    <col min="1" max="2" width="8.90625" style="103"/>
    <col min="3" max="3" width="9.90625" style="103" customWidth="1"/>
    <col min="4" max="4" width="8.90625" style="103"/>
    <col min="5" max="5" width="29.453125" style="103" bestFit="1" customWidth="1"/>
    <col min="6" max="6" width="9.08984375" style="103" bestFit="1" customWidth="1"/>
    <col min="7" max="13" width="8.90625" style="103"/>
    <col min="14" max="14" width="10.7265625" style="103" bestFit="1" customWidth="1"/>
    <col min="15" max="16384" width="8.90625" style="103"/>
  </cols>
  <sheetData>
    <row r="4" spans="5:14" x14ac:dyDescent="0.55000000000000004">
      <c r="M4" s="141" t="s">
        <v>682</v>
      </c>
      <c r="N4" s="135" t="s">
        <v>164</v>
      </c>
    </row>
    <row r="5" spans="5:14" x14ac:dyDescent="0.55000000000000004">
      <c r="E5" s="156" t="s">
        <v>52</v>
      </c>
      <c r="F5" s="157">
        <v>1400</v>
      </c>
      <c r="G5" s="157">
        <v>1401</v>
      </c>
      <c r="H5" s="157">
        <v>1402</v>
      </c>
      <c r="I5" s="157">
        <v>1403</v>
      </c>
      <c r="J5" s="158">
        <v>1404</v>
      </c>
      <c r="M5" s="141">
        <v>1395</v>
      </c>
      <c r="N5" s="142">
        <v>0.87</v>
      </c>
    </row>
    <row r="6" spans="5:14" x14ac:dyDescent="0.55000000000000004">
      <c r="E6" s="159" t="s">
        <v>65</v>
      </c>
      <c r="F6" s="160">
        <f>'پیش‌بینی صورت سود و زیان'!D20</f>
        <v>1480.5649834703929</v>
      </c>
      <c r="G6" s="160">
        <f>'پیش‌بینی صورت سود و زیان'!E20</f>
        <v>2303.6428740330598</v>
      </c>
      <c r="H6" s="160">
        <f>'پیش‌بینی صورت سود و زیان'!F20</f>
        <v>2875.3548520028621</v>
      </c>
      <c r="I6" s="160">
        <f>'پیش‌بینی صورت سود و زیان'!G20</f>
        <v>3574.2277193573623</v>
      </c>
      <c r="J6" s="161">
        <f>'پیش‌بینی صورت سود و زیان'!H20</f>
        <v>4424.7355327671949</v>
      </c>
      <c r="M6" s="141">
        <v>1396</v>
      </c>
      <c r="N6" s="142">
        <v>0.62</v>
      </c>
    </row>
    <row r="7" spans="5:14" x14ac:dyDescent="0.55000000000000004">
      <c r="E7" s="159" t="s">
        <v>164</v>
      </c>
      <c r="F7" s="162">
        <f>$N$10</f>
        <v>0.68799999999999994</v>
      </c>
      <c r="G7" s="162">
        <f t="shared" ref="G7:J7" si="0">$N$10</f>
        <v>0.68799999999999994</v>
      </c>
      <c r="H7" s="162">
        <f t="shared" si="0"/>
        <v>0.68799999999999994</v>
      </c>
      <c r="I7" s="162">
        <f t="shared" si="0"/>
        <v>0.68799999999999994</v>
      </c>
      <c r="J7" s="163">
        <f t="shared" si="0"/>
        <v>0.68799999999999994</v>
      </c>
      <c r="M7" s="141">
        <v>1397</v>
      </c>
      <c r="N7" s="142">
        <v>0.67</v>
      </c>
    </row>
    <row r="8" spans="5:14" x14ac:dyDescent="0.55000000000000004">
      <c r="E8" s="159" t="s">
        <v>165</v>
      </c>
      <c r="F8" s="164">
        <f>F7*F6</f>
        <v>1018.6287086276302</v>
      </c>
      <c r="G8" s="164">
        <f t="shared" ref="G8:J8" si="1">G7*G6</f>
        <v>1584.906297334745</v>
      </c>
      <c r="H8" s="164">
        <f t="shared" si="1"/>
        <v>1978.244138177969</v>
      </c>
      <c r="I8" s="164">
        <f t="shared" si="1"/>
        <v>2459.0686709178649</v>
      </c>
      <c r="J8" s="165">
        <f t="shared" si="1"/>
        <v>3044.21804654383</v>
      </c>
      <c r="M8" s="141">
        <v>1398</v>
      </c>
      <c r="N8" s="142">
        <v>0.46</v>
      </c>
    </row>
    <row r="9" spans="5:14" x14ac:dyDescent="0.55000000000000004">
      <c r="E9" s="166" t="s">
        <v>693</v>
      </c>
      <c r="F9" s="167"/>
      <c r="G9" s="168">
        <f>G8/F8-1</f>
        <v>0.5559214892637816</v>
      </c>
      <c r="H9" s="168">
        <f t="shared" ref="H9:J9" si="2">H8/G8-1</f>
        <v>0.24817734745876141</v>
      </c>
      <c r="I9" s="168">
        <f t="shared" si="2"/>
        <v>0.24305621508513697</v>
      </c>
      <c r="J9" s="169">
        <f t="shared" si="2"/>
        <v>0.23795568726738892</v>
      </c>
      <c r="M9" s="141">
        <v>1399</v>
      </c>
      <c r="N9" s="142">
        <v>0.82</v>
      </c>
    </row>
    <row r="10" spans="5:14" x14ac:dyDescent="0.55000000000000004">
      <c r="M10" s="141" t="s">
        <v>641</v>
      </c>
      <c r="N10" s="142">
        <f>AVERAGE(N5:N9)</f>
        <v>0.68799999999999994</v>
      </c>
    </row>
    <row r="11" spans="5:14" x14ac:dyDescent="0.55000000000000004">
      <c r="E11" s="103" t="s">
        <v>694</v>
      </c>
      <c r="F11" s="155">
        <f>GEOMEAN(H9:J9)</f>
        <v>0.24302725754778315</v>
      </c>
    </row>
    <row r="13" spans="5:14" x14ac:dyDescent="0.55000000000000004">
      <c r="E13" s="172" t="s">
        <v>688</v>
      </c>
      <c r="F13" s="173">
        <f>F8/(1+N13)+G8/(1+N13)^2+H8/(1+N13)^3+I8/(1+N13)^4+(J8+(J8*(1+F11)/(N13-F11)))/(1+N13)^5</f>
        <v>15831.772552250301</v>
      </c>
      <c r="M13" s="136" t="s">
        <v>695</v>
      </c>
      <c r="N13" s="170">
        <f>'بتا و نرخ تنزیل'!K7</f>
        <v>0.32262802276099056</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zoomScale="80" zoomScaleNormal="80" workbookViewId="0">
      <selection activeCell="I9" sqref="I9"/>
    </sheetView>
  </sheetViews>
  <sheetFormatPr defaultColWidth="8.90625" defaultRowHeight="16.7" x14ac:dyDescent="0.55000000000000004"/>
  <cols>
    <col min="1" max="3" width="8.90625" style="103"/>
    <col min="4" max="4" width="11" style="103" bestFit="1" customWidth="1"/>
    <col min="5" max="16384" width="8.90625" style="103"/>
  </cols>
  <sheetData>
    <row r="4" spans="4:6" ht="17.2" thickBot="1" x14ac:dyDescent="0.6"/>
    <row r="5" spans="4:6" x14ac:dyDescent="0.55000000000000004">
      <c r="D5" s="269"/>
      <c r="E5" s="270"/>
      <c r="F5" s="263" t="s">
        <v>742</v>
      </c>
    </row>
    <row r="6" spans="4:6" x14ac:dyDescent="0.55000000000000004">
      <c r="D6" s="264" t="s">
        <v>696</v>
      </c>
      <c r="E6" s="117">
        <v>15831.772552250301</v>
      </c>
      <c r="F6" s="265">
        <f>0.5</f>
        <v>0.5</v>
      </c>
    </row>
    <row r="7" spans="4:6" x14ac:dyDescent="0.55000000000000004">
      <c r="D7" s="264" t="s">
        <v>683</v>
      </c>
      <c r="E7" s="117">
        <v>14913.421184531298</v>
      </c>
      <c r="F7" s="265">
        <v>0.25</v>
      </c>
    </row>
    <row r="8" spans="4:6" x14ac:dyDescent="0.55000000000000004">
      <c r="D8" s="264" t="s">
        <v>689</v>
      </c>
      <c r="E8" s="117">
        <v>9204.4968571003465</v>
      </c>
      <c r="F8" s="265">
        <v>0.25</v>
      </c>
    </row>
    <row r="9" spans="4:6" x14ac:dyDescent="0.55000000000000004">
      <c r="D9" s="266"/>
      <c r="E9" s="252"/>
      <c r="F9" s="271"/>
    </row>
    <row r="10" spans="4:6" ht="17.2" thickBot="1" x14ac:dyDescent="0.6">
      <c r="D10" s="267" t="s">
        <v>706</v>
      </c>
      <c r="E10" s="297">
        <f>E6*F6+E7*F7+E8*F8</f>
        <v>13945.365786533062</v>
      </c>
      <c r="F10" s="272"/>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D61"/>
  <sheetViews>
    <sheetView zoomScale="50" zoomScaleNormal="50" workbookViewId="0">
      <selection activeCell="K29" sqref="K29"/>
    </sheetView>
  </sheetViews>
  <sheetFormatPr defaultRowHeight="19.899999999999999" x14ac:dyDescent="0.65"/>
  <cols>
    <col min="1" max="1" width="8.7265625" style="70"/>
    <col min="2" max="2" width="43" style="70" bestFit="1" customWidth="1"/>
    <col min="3" max="7" width="14.453125" style="70" bestFit="1" customWidth="1"/>
    <col min="8" max="8" width="12.453125" style="70" bestFit="1" customWidth="1"/>
    <col min="9" max="9" width="8.7265625" style="70"/>
    <col min="10" max="10" width="29.453125" style="70" bestFit="1" customWidth="1"/>
    <col min="11" max="11" width="10" style="70" bestFit="1" customWidth="1"/>
    <col min="12" max="12" width="9.08984375" style="70" customWidth="1"/>
    <col min="13" max="14" width="9.453125" style="70" customWidth="1"/>
    <col min="15" max="15" width="8.7265625" style="70" customWidth="1"/>
    <col min="16" max="16" width="8.7265625" style="70"/>
    <col min="18" max="18" width="14.36328125" style="70" bestFit="1" customWidth="1"/>
    <col min="19" max="19" width="8.7265625" style="70"/>
    <col min="20" max="20" width="14.26953125" style="70" customWidth="1"/>
    <col min="21" max="21" width="10.7265625" style="70" bestFit="1" customWidth="1"/>
    <col min="22" max="23" width="8.7265625" style="70"/>
    <col min="24" max="24" width="11" style="70" bestFit="1" customWidth="1"/>
    <col min="25" max="27" width="8.7265625" style="70"/>
    <col min="28" max="28" width="11.08984375" style="70" bestFit="1" customWidth="1"/>
    <col min="29" max="29" width="10.7265625" style="70" bestFit="1" customWidth="1"/>
    <col min="30" max="16384" width="8.7265625" style="70"/>
  </cols>
  <sheetData>
    <row r="2" spans="2:30" ht="20.45" thickBot="1" x14ac:dyDescent="0.7"/>
    <row r="3" spans="2:30" x14ac:dyDescent="0.65">
      <c r="B3" s="269" t="s">
        <v>17</v>
      </c>
      <c r="C3" s="568" t="s">
        <v>633</v>
      </c>
      <c r="D3" s="568">
        <v>1400</v>
      </c>
      <c r="E3" s="270">
        <v>1401</v>
      </c>
      <c r="F3" s="270">
        <v>1402</v>
      </c>
      <c r="G3" s="270">
        <v>1403</v>
      </c>
      <c r="H3" s="263">
        <v>1404</v>
      </c>
      <c r="J3" s="156" t="s">
        <v>52</v>
      </c>
      <c r="K3" s="114">
        <v>1400</v>
      </c>
      <c r="L3" s="114">
        <v>1401</v>
      </c>
      <c r="M3" s="114">
        <v>1402</v>
      </c>
      <c r="N3" s="114">
        <v>1403</v>
      </c>
      <c r="O3" s="115">
        <v>1404</v>
      </c>
    </row>
    <row r="4" spans="2:30" x14ac:dyDescent="0.65">
      <c r="B4" s="266" t="s">
        <v>126</v>
      </c>
      <c r="C4" s="241">
        <v>350000</v>
      </c>
      <c r="D4" s="241">
        <v>350000</v>
      </c>
      <c r="E4" s="117">
        <v>350000</v>
      </c>
      <c r="F4" s="117">
        <v>350000</v>
      </c>
      <c r="G4" s="117">
        <v>350000</v>
      </c>
      <c r="H4" s="569">
        <v>350000</v>
      </c>
      <c r="J4" s="159" t="s">
        <v>65</v>
      </c>
      <c r="K4" s="117">
        <f>C60</f>
        <v>1494.3279671508205</v>
      </c>
      <c r="L4" s="117">
        <f t="shared" ref="L4:O4" si="0">D60</f>
        <v>2323.8165940515401</v>
      </c>
      <c r="M4" s="117">
        <f t="shared" si="0"/>
        <v>2900.7115935276934</v>
      </c>
      <c r="N4" s="117">
        <f t="shared" si="0"/>
        <v>3605.7475577805899</v>
      </c>
      <c r="O4" s="117">
        <f t="shared" si="0"/>
        <v>4463.4842612211969</v>
      </c>
    </row>
    <row r="5" spans="2:30" x14ac:dyDescent="0.65">
      <c r="B5" s="266" t="s">
        <v>137</v>
      </c>
      <c r="C5" s="241">
        <f>C4*365/4</f>
        <v>31937500</v>
      </c>
      <c r="D5" s="241">
        <f>D4*365</f>
        <v>127750000</v>
      </c>
      <c r="E5" s="117">
        <f t="shared" ref="E5:H5" si="1">E4*365</f>
        <v>127750000</v>
      </c>
      <c r="F5" s="117">
        <f t="shared" si="1"/>
        <v>127750000</v>
      </c>
      <c r="G5" s="117">
        <f t="shared" si="1"/>
        <v>127750000</v>
      </c>
      <c r="H5" s="569">
        <f t="shared" si="1"/>
        <v>127750000</v>
      </c>
      <c r="J5" s="159" t="s">
        <v>164</v>
      </c>
      <c r="K5" s="284">
        <f>$AC$12</f>
        <v>0.68799999999999994</v>
      </c>
      <c r="L5" s="284">
        <f t="shared" ref="L5:O5" si="2">$AC$12</f>
        <v>0.68799999999999994</v>
      </c>
      <c r="M5" s="284">
        <f t="shared" si="2"/>
        <v>0.68799999999999994</v>
      </c>
      <c r="N5" s="284">
        <f t="shared" si="2"/>
        <v>0.68799999999999994</v>
      </c>
      <c r="O5" s="284">
        <f t="shared" si="2"/>
        <v>0.68799999999999994</v>
      </c>
      <c r="R5" s="73" t="s">
        <v>746</v>
      </c>
      <c r="S5" s="292">
        <f>L20</f>
        <v>13362.904556730226</v>
      </c>
      <c r="T5" s="103"/>
      <c r="U5" s="174" t="s">
        <v>164</v>
      </c>
      <c r="V5" s="293">
        <f>L20</f>
        <v>13362.904556730226</v>
      </c>
      <c r="W5" s="103"/>
      <c r="X5" s="206" t="s">
        <v>748</v>
      </c>
      <c r="Y5" s="292">
        <f>L20</f>
        <v>13362.904556730226</v>
      </c>
      <c r="Z5" s="103"/>
      <c r="AA5" s="103"/>
      <c r="AB5" s="103"/>
      <c r="AC5" s="103"/>
      <c r="AD5" s="103"/>
    </row>
    <row r="6" spans="2:30" x14ac:dyDescent="0.65">
      <c r="B6" s="570" t="s">
        <v>138</v>
      </c>
      <c r="C6" s="242">
        <v>0.91400000000000003</v>
      </c>
      <c r="D6" s="242">
        <v>0.90875000000000006</v>
      </c>
      <c r="E6" s="281">
        <v>0.90500000000000003</v>
      </c>
      <c r="F6" s="281">
        <v>0.9</v>
      </c>
      <c r="G6" s="281">
        <v>0.89500000000000002</v>
      </c>
      <c r="H6" s="571">
        <v>0.89</v>
      </c>
      <c r="J6" s="159" t="s">
        <v>165</v>
      </c>
      <c r="K6" s="288">
        <f>K5*K4</f>
        <v>1028.0976413997644</v>
      </c>
      <c r="L6" s="288">
        <f>L5*L4</f>
        <v>1598.7858167074594</v>
      </c>
      <c r="M6" s="288">
        <f>M5*M4</f>
        <v>1995.6895763470529</v>
      </c>
      <c r="N6" s="288">
        <f>N5*N4</f>
        <v>2480.7543197530458</v>
      </c>
      <c r="O6" s="289">
        <f>O5*O4</f>
        <v>3070.877171720183</v>
      </c>
      <c r="R6" s="29">
        <v>0.3</v>
      </c>
      <c r="S6" s="206">
        <f t="dataTable" ref="S6:S29" dt2D="0" dtr="0" r1="E18" ca="1"/>
        <v>23099.045830876377</v>
      </c>
      <c r="T6" s="103"/>
      <c r="U6" s="294">
        <v>0.45</v>
      </c>
      <c r="V6" s="174">
        <f t="dataTable" ref="V6:V23" dt2D="0" dtr="0" r1="AC12"/>
        <v>11521.310874754914</v>
      </c>
      <c r="W6" s="103"/>
      <c r="X6" s="295">
        <v>260000</v>
      </c>
      <c r="Y6" s="206">
        <f t="dataTable" ref="Y6:Y22" dt2D="0" dtr="0" r1="E14" ca="1"/>
        <v>12724.624321175092</v>
      </c>
      <c r="Z6" s="103"/>
      <c r="AA6" s="103"/>
      <c r="AB6" s="141" t="s">
        <v>682</v>
      </c>
      <c r="AC6" s="135" t="s">
        <v>164</v>
      </c>
      <c r="AD6" s="103"/>
    </row>
    <row r="7" spans="2:30" x14ac:dyDescent="0.65">
      <c r="B7" s="266" t="s">
        <v>140</v>
      </c>
      <c r="C7" s="241">
        <f>C6*C5</f>
        <v>29190875</v>
      </c>
      <c r="D7" s="241">
        <f t="shared" ref="D7:H7" si="3">D6*D5</f>
        <v>116092812.5</v>
      </c>
      <c r="E7" s="117">
        <f t="shared" si="3"/>
        <v>115613750</v>
      </c>
      <c r="F7" s="117">
        <f t="shared" si="3"/>
        <v>114975000</v>
      </c>
      <c r="G7" s="117">
        <f t="shared" si="3"/>
        <v>114336250</v>
      </c>
      <c r="H7" s="569">
        <f t="shared" si="3"/>
        <v>113697500</v>
      </c>
      <c r="J7" s="159" t="s">
        <v>747</v>
      </c>
      <c r="K7" s="288">
        <f>IF(K6&gt;0,K6,0)</f>
        <v>1028.0976413997644</v>
      </c>
      <c r="L7" s="288">
        <f>IF(L6&gt;0,L6,0.0001)</f>
        <v>1598.7858167074594</v>
      </c>
      <c r="M7" s="288">
        <f t="shared" ref="M7:O7" si="4">IF(M6&gt;0,M6,0.0001)</f>
        <v>1995.6895763470529</v>
      </c>
      <c r="N7" s="288">
        <f t="shared" si="4"/>
        <v>2480.7543197530458</v>
      </c>
      <c r="O7" s="288">
        <f t="shared" si="4"/>
        <v>3070.877171720183</v>
      </c>
      <c r="R7" s="80">
        <v>0.30499999999999999</v>
      </c>
      <c r="S7" s="206">
        <v>22317.728135170069</v>
      </c>
      <c r="U7" s="29">
        <v>0.48</v>
      </c>
      <c r="V7" s="31">
        <v>11753.444532146757</v>
      </c>
      <c r="X7" s="296">
        <f>265000</f>
        <v>265000</v>
      </c>
      <c r="Y7" s="73">
        <v>12809.742760856052</v>
      </c>
      <c r="Z7" s="103"/>
      <c r="AA7" s="103"/>
      <c r="AB7" s="141">
        <v>1395</v>
      </c>
      <c r="AC7" s="142">
        <v>0.87</v>
      </c>
      <c r="AD7" s="103"/>
    </row>
    <row r="8" spans="2:30" x14ac:dyDescent="0.65">
      <c r="B8" s="266" t="s">
        <v>141</v>
      </c>
      <c r="C8" s="241">
        <f>C7/'پیش بینی فروش'!$L$33</f>
        <v>4640978.2310145162</v>
      </c>
      <c r="D8" s="241">
        <f>D7/'پیش بینی فروش'!$L$33</f>
        <v>18457282.133192305</v>
      </c>
      <c r="E8" s="245">
        <f>E7/'پیش بینی فروش'!$L$33</f>
        <v>18381117.282573905</v>
      </c>
      <c r="F8" s="245">
        <f>F7/'پیش بینی فروش'!$L$33</f>
        <v>18279564.148416039</v>
      </c>
      <c r="G8" s="245">
        <f>G7/'پیش بینی فروش'!$L$33</f>
        <v>18178011.014258172</v>
      </c>
      <c r="H8" s="572">
        <f>H7/'پیش بینی فروش'!$L$33</f>
        <v>18076457.880100306</v>
      </c>
      <c r="J8" s="166" t="s">
        <v>693</v>
      </c>
      <c r="K8" s="217"/>
      <c r="L8" s="286">
        <f>L6/K6-1</f>
        <v>0.5550914157634852</v>
      </c>
      <c r="M8" s="286">
        <f>M6/L6-1</f>
        <v>0.24825324036022378</v>
      </c>
      <c r="N8" s="286">
        <f>N6/M6-1</f>
        <v>0.2430562093198203</v>
      </c>
      <c r="O8" s="287">
        <f>O6/N6-1</f>
        <v>0.23788040890154849</v>
      </c>
      <c r="R8" s="29">
        <v>0.31</v>
      </c>
      <c r="S8" s="206">
        <v>21561.605163371605</v>
      </c>
      <c r="U8" s="294">
        <v>0.51</v>
      </c>
      <c r="V8" s="31">
        <v>11985.578189538604</v>
      </c>
      <c r="X8" s="296">
        <v>270000</v>
      </c>
      <c r="Y8" s="73">
        <v>12894.861200537269</v>
      </c>
      <c r="Z8" s="103"/>
      <c r="AA8" s="103"/>
      <c r="AB8" s="141">
        <v>1396</v>
      </c>
      <c r="AC8" s="142">
        <v>0.62</v>
      </c>
      <c r="AD8" s="103"/>
    </row>
    <row r="9" spans="2:30" x14ac:dyDescent="0.65">
      <c r="B9" s="266" t="s">
        <v>5</v>
      </c>
      <c r="C9" s="242">
        <v>0.33948262430593346</v>
      </c>
      <c r="D9" s="242">
        <v>0.33948262430593346</v>
      </c>
      <c r="E9" s="243">
        <v>0.33948262430593346</v>
      </c>
      <c r="F9" s="243">
        <v>0.33948262430593346</v>
      </c>
      <c r="G9" s="243">
        <v>0.33948262430593346</v>
      </c>
      <c r="H9" s="573">
        <v>0.33948262430593346</v>
      </c>
      <c r="J9" s="103"/>
      <c r="K9" s="103"/>
      <c r="L9" s="103"/>
      <c r="M9" s="103"/>
      <c r="N9" s="103"/>
      <c r="O9" s="103"/>
      <c r="R9" s="80">
        <v>0.315</v>
      </c>
      <c r="S9" s="206">
        <v>20829.476044500396</v>
      </c>
      <c r="U9" s="29">
        <v>0.54</v>
      </c>
      <c r="V9" s="31">
        <v>12217.711846930448</v>
      </c>
      <c r="X9" s="295">
        <v>275000</v>
      </c>
      <c r="Y9" s="73">
        <v>12979.979640218722</v>
      </c>
      <c r="Z9" s="103"/>
      <c r="AA9" s="103"/>
      <c r="AB9" s="141">
        <v>1397</v>
      </c>
      <c r="AC9" s="142">
        <v>0.67</v>
      </c>
      <c r="AD9" s="103"/>
    </row>
    <row r="10" spans="2:30" x14ac:dyDescent="0.65">
      <c r="B10" s="266" t="s">
        <v>142</v>
      </c>
      <c r="C10" s="241">
        <f>C9*C8</f>
        <v>1575531.4692115167</v>
      </c>
      <c r="D10" s="241">
        <f t="shared" ref="D10:H10" si="5">D9*D8</f>
        <v>6265926.5761311408</v>
      </c>
      <c r="E10" s="117">
        <f t="shared" si="5"/>
        <v>6240069.9327633372</v>
      </c>
      <c r="F10" s="117">
        <f t="shared" si="5"/>
        <v>6205594.4082729323</v>
      </c>
      <c r="G10" s="117">
        <f t="shared" si="5"/>
        <v>6171118.8837825274</v>
      </c>
      <c r="H10" s="569">
        <f t="shared" si="5"/>
        <v>6136643.3592921225</v>
      </c>
      <c r="J10" s="103" t="s">
        <v>694</v>
      </c>
      <c r="K10" s="155">
        <f>GEOMEAN(M8:O8)</f>
        <v>0.24302639285896727</v>
      </c>
      <c r="L10" s="103"/>
      <c r="M10" s="103"/>
      <c r="N10" s="103"/>
      <c r="O10" s="103"/>
      <c r="R10" s="29">
        <v>0.32</v>
      </c>
      <c r="S10" s="206">
        <v>20120.214768836442</v>
      </c>
      <c r="U10" s="294">
        <v>0.56999999999999995</v>
      </c>
      <c r="V10" s="31">
        <v>12449.845504322298</v>
      </c>
      <c r="X10" s="296">
        <v>280000</v>
      </c>
      <c r="Y10" s="73">
        <v>13065.098079900386</v>
      </c>
      <c r="Z10" s="103"/>
      <c r="AA10" s="103"/>
      <c r="AB10" s="141">
        <v>1398</v>
      </c>
      <c r="AC10" s="142">
        <v>0.46</v>
      </c>
      <c r="AD10" s="103"/>
    </row>
    <row r="11" spans="2:30" x14ac:dyDescent="0.65">
      <c r="B11" s="570" t="s">
        <v>16</v>
      </c>
      <c r="C11" s="241">
        <v>639.39370129749477</v>
      </c>
      <c r="D11" s="241">
        <v>524.05895597894175</v>
      </c>
      <c r="E11" s="30">
        <f>رویترز!H10</f>
        <v>604.97747014140054</v>
      </c>
      <c r="F11" s="30">
        <f>رویترز!I10</f>
        <v>611.70596108100847</v>
      </c>
      <c r="G11" s="30">
        <f>رویترز!J10</f>
        <v>611.70596108100847</v>
      </c>
      <c r="H11" s="574">
        <f>رویترز!K10</f>
        <v>604.97747014140054</v>
      </c>
      <c r="J11" s="103"/>
      <c r="K11" s="103"/>
      <c r="L11" s="103"/>
      <c r="M11" s="103"/>
      <c r="N11" s="103"/>
      <c r="O11" s="103"/>
      <c r="R11" s="80">
        <v>0.32500000000000001</v>
      </c>
      <c r="S11" s="206">
        <v>19432.764385896604</v>
      </c>
      <c r="U11" s="29">
        <v>0.6</v>
      </c>
      <c r="V11" s="31">
        <v>12681.979161714147</v>
      </c>
      <c r="X11" s="296">
        <v>285000</v>
      </c>
      <c r="Y11" s="73">
        <v>13150.216519582276</v>
      </c>
      <c r="Z11" s="103"/>
      <c r="AA11" s="103"/>
      <c r="AB11" s="141">
        <v>1399</v>
      </c>
      <c r="AC11" s="142">
        <v>0.82</v>
      </c>
      <c r="AD11" s="103"/>
    </row>
    <row r="12" spans="2:30" x14ac:dyDescent="0.65">
      <c r="B12" s="266" t="s">
        <v>9</v>
      </c>
      <c r="C12" s="241">
        <f>C11*C10</f>
        <v>1007384897.6098316</v>
      </c>
      <c r="D12" s="241">
        <f t="shared" ref="D12:H12" si="6">D11*D10</f>
        <v>3283714939.7279906</v>
      </c>
      <c r="E12" s="117">
        <f t="shared" si="6"/>
        <v>3775101721.4285831</v>
      </c>
      <c r="F12" s="117">
        <f t="shared" si="6"/>
        <v>3795999091.591526</v>
      </c>
      <c r="G12" s="117">
        <f t="shared" si="6"/>
        <v>3774910207.749351</v>
      </c>
      <c r="H12" s="569">
        <f t="shared" si="6"/>
        <v>3712530974.6645741</v>
      </c>
      <c r="J12" s="291" t="s">
        <v>745</v>
      </c>
      <c r="K12" s="173">
        <f>K6/(1+AC19)+L6/(1+AC19)^2+M6/(1+AC19)^3+N6/(1+AC19)^4+(O6+(O6*(1+K10)/(AC19-K10)))/(1+AC19)^5</f>
        <v>15970.795628559032</v>
      </c>
      <c r="L12" s="103"/>
      <c r="M12" s="103"/>
      <c r="N12" s="103"/>
      <c r="O12" s="103"/>
      <c r="R12" s="29">
        <v>0.33</v>
      </c>
      <c r="S12" s="206">
        <v>18766.131717570101</v>
      </c>
      <c r="U12" s="294">
        <v>0.63</v>
      </c>
      <c r="V12" s="31">
        <v>12914.112819105992</v>
      </c>
      <c r="X12" s="295">
        <v>290000</v>
      </c>
      <c r="Y12" s="73">
        <v>13235.334959264423</v>
      </c>
      <c r="Z12" s="103"/>
      <c r="AA12" s="103"/>
      <c r="AB12" s="141" t="s">
        <v>641</v>
      </c>
      <c r="AC12" s="142">
        <f>AVERAGE(AC7:AC11)</f>
        <v>0.68799999999999994</v>
      </c>
      <c r="AD12" s="103"/>
    </row>
    <row r="13" spans="2:30" x14ac:dyDescent="0.65">
      <c r="B13" s="570" t="s">
        <v>651</v>
      </c>
      <c r="C13" s="242">
        <v>0.39300000000000002</v>
      </c>
      <c r="D13" s="242">
        <v>0.39300000000000002</v>
      </c>
      <c r="E13" s="102">
        <v>0.27500000000000002</v>
      </c>
      <c r="F13" s="102">
        <v>0.25</v>
      </c>
      <c r="G13" s="102">
        <v>0.25</v>
      </c>
      <c r="H13" s="575">
        <v>0.25</v>
      </c>
      <c r="R13" s="80">
        <v>0.33500000000000002</v>
      </c>
      <c r="S13" s="206">
        <v>18119.382528327711</v>
      </c>
      <c r="U13" s="29">
        <v>0.66</v>
      </c>
      <c r="V13" s="31">
        <v>13146.246476497838</v>
      </c>
      <c r="X13" s="296">
        <v>295000</v>
      </c>
      <c r="Y13" s="73">
        <v>13320.453398946787</v>
      </c>
      <c r="Z13" s="103"/>
      <c r="AA13" s="103"/>
      <c r="AB13" s="103"/>
      <c r="AC13" s="103"/>
      <c r="AD13" s="103"/>
    </row>
    <row r="14" spans="2:30" ht="20.45" thickBot="1" x14ac:dyDescent="0.7">
      <c r="B14" s="266" t="s">
        <v>663</v>
      </c>
      <c r="C14" s="241">
        <v>254534.51100000003</v>
      </c>
      <c r="D14" s="241">
        <v>233328.35470852535</v>
      </c>
      <c r="E14" s="117">
        <f>D14*(1+E13)</f>
        <v>297493.6522533698</v>
      </c>
      <c r="F14" s="117">
        <f t="shared" ref="F14:H14" si="7">E14*(1+F13)</f>
        <v>371867.06531671225</v>
      </c>
      <c r="G14" s="117">
        <f t="shared" si="7"/>
        <v>464833.83164589031</v>
      </c>
      <c r="H14" s="569">
        <f t="shared" si="7"/>
        <v>581042.28955736291</v>
      </c>
      <c r="R14" s="29">
        <v>0.34</v>
      </c>
      <c r="S14" s="206">
        <v>17491.637099475447</v>
      </c>
      <c r="U14" s="294">
        <v>0.69</v>
      </c>
      <c r="V14" s="31">
        <v>13378.380133889683</v>
      </c>
      <c r="X14" s="296">
        <v>300000</v>
      </c>
      <c r="Y14" s="73">
        <v>13405.571838629272</v>
      </c>
      <c r="Z14" s="103"/>
      <c r="AA14" s="103"/>
      <c r="AB14" s="103"/>
      <c r="AC14" s="103"/>
      <c r="AD14" s="103"/>
    </row>
    <row r="15" spans="2:30" x14ac:dyDescent="0.65">
      <c r="B15" s="266" t="s">
        <v>664</v>
      </c>
      <c r="C15" s="241">
        <f>C14*C12/10000000000</f>
        <v>25641.422230190357</v>
      </c>
      <c r="D15" s="241">
        <f t="shared" ref="D15:H15" si="8">D14*D12/10000000000</f>
        <v>76618.380421853653</v>
      </c>
      <c r="E15" s="245">
        <f t="shared" si="8"/>
        <v>112306.87987357726</v>
      </c>
      <c r="F15" s="245">
        <f t="shared" si="8"/>
        <v>141160.70421350465</v>
      </c>
      <c r="G15" s="245">
        <f t="shared" si="8"/>
        <v>175470.59759873149</v>
      </c>
      <c r="H15" s="572">
        <f t="shared" si="8"/>
        <v>215713.74975717324</v>
      </c>
      <c r="K15" s="269"/>
      <c r="L15" s="270"/>
      <c r="M15" s="263" t="s">
        <v>742</v>
      </c>
      <c r="R15" s="80">
        <v>0.34499999999999997</v>
      </c>
      <c r="S15" s="206">
        <v>16882.066157937556</v>
      </c>
      <c r="U15" s="29">
        <v>0.72</v>
      </c>
      <c r="V15" s="31">
        <v>13610.513791281533</v>
      </c>
      <c r="X15" s="295">
        <v>305000</v>
      </c>
      <c r="Y15" s="73">
        <v>13490.690278311917</v>
      </c>
      <c r="Z15" s="103"/>
      <c r="AA15" s="103"/>
      <c r="AB15" s="603" t="s">
        <v>744</v>
      </c>
      <c r="AC15" s="604"/>
      <c r="AD15" s="103"/>
    </row>
    <row r="16" spans="2:30" x14ac:dyDescent="0.65">
      <c r="B16" s="266" t="s">
        <v>154</v>
      </c>
      <c r="C16" s="242">
        <v>0.99700319442866003</v>
      </c>
      <c r="D16" s="242">
        <v>0.99700319442866003</v>
      </c>
      <c r="E16" s="243">
        <v>0.99700319442866003</v>
      </c>
      <c r="F16" s="243">
        <v>0.99700319442866003</v>
      </c>
      <c r="G16" s="243">
        <v>0.99700319442866003</v>
      </c>
      <c r="H16" s="573">
        <v>0.99700319442866003</v>
      </c>
      <c r="K16" s="264" t="s">
        <v>696</v>
      </c>
      <c r="L16" s="117">
        <f>K12</f>
        <v>15970.795628559032</v>
      </c>
      <c r="M16" s="265">
        <f>0.5</f>
        <v>0.5</v>
      </c>
      <c r="R16" s="29">
        <v>0.35</v>
      </c>
      <c r="S16" s="206">
        <v>16289.887111736396</v>
      </c>
      <c r="T16" s="103"/>
      <c r="U16" s="294">
        <v>0.75</v>
      </c>
      <c r="V16" s="174">
        <v>13842.647448673377</v>
      </c>
      <c r="W16" s="103"/>
      <c r="X16" s="295">
        <v>310000</v>
      </c>
      <c r="Y16" s="206">
        <v>13575.808717994796</v>
      </c>
      <c r="Z16" s="103"/>
      <c r="AA16" s="103"/>
      <c r="AB16" s="127" t="s">
        <v>680</v>
      </c>
      <c r="AC16" s="128">
        <v>0.22</v>
      </c>
      <c r="AD16" s="103"/>
    </row>
    <row r="17" spans="2:29" x14ac:dyDescent="0.65">
      <c r="B17" s="266" t="s">
        <v>665</v>
      </c>
      <c r="C17" s="241">
        <f>C16*C15</f>
        <v>25564.579873193841</v>
      </c>
      <c r="D17" s="241">
        <f t="shared" ref="D17:H17" si="9">D16*D15</f>
        <v>76388.770032538392</v>
      </c>
      <c r="E17" s="117">
        <f t="shared" si="9"/>
        <v>111970.31799027232</v>
      </c>
      <c r="F17" s="117">
        <f t="shared" si="9"/>
        <v>140737.67302866335</v>
      </c>
      <c r="G17" s="117">
        <f t="shared" si="9"/>
        <v>174944.74633424127</v>
      </c>
      <c r="H17" s="569">
        <f t="shared" si="9"/>
        <v>215067.29759008629</v>
      </c>
      <c r="K17" s="264" t="s">
        <v>683</v>
      </c>
      <c r="L17" s="117">
        <v>14913.421184531298</v>
      </c>
      <c r="M17" s="265">
        <v>0.25</v>
      </c>
      <c r="R17" s="80">
        <v>0.35499999999999998</v>
      </c>
      <c r="S17" s="73">
        <v>15714.360543587922</v>
      </c>
      <c r="U17" s="29">
        <v>0.78</v>
      </c>
      <c r="V17" s="31">
        <v>14074.781106065217</v>
      </c>
      <c r="X17" s="296">
        <v>315000</v>
      </c>
      <c r="Y17" s="73">
        <v>13660.927157677803</v>
      </c>
      <c r="AB17" s="129" t="s">
        <v>679</v>
      </c>
      <c r="AC17" s="130">
        <v>0.35</v>
      </c>
    </row>
    <row r="18" spans="2:29" x14ac:dyDescent="0.65">
      <c r="B18" s="570" t="s">
        <v>159</v>
      </c>
      <c r="C18" s="247">
        <v>0.377</v>
      </c>
      <c r="D18" s="247">
        <v>0.377</v>
      </c>
      <c r="E18" s="102">
        <v>0.377</v>
      </c>
      <c r="F18" s="102">
        <f>E18</f>
        <v>0.377</v>
      </c>
      <c r="G18" s="102">
        <f>F18</f>
        <v>0.377</v>
      </c>
      <c r="H18" s="575">
        <f>G18</f>
        <v>0.377</v>
      </c>
      <c r="K18" s="264" t="s">
        <v>689</v>
      </c>
      <c r="L18" s="117">
        <v>9204.4968571003501</v>
      </c>
      <c r="M18" s="265">
        <v>0.25</v>
      </c>
      <c r="R18" s="29">
        <v>0.36</v>
      </c>
      <c r="S18" s="73">
        <v>15154.786909722512</v>
      </c>
      <c r="U18" s="294">
        <v>0.81</v>
      </c>
      <c r="V18" s="31">
        <v>14306.914763457069</v>
      </c>
      <c r="X18" s="296">
        <v>320000</v>
      </c>
      <c r="Y18" s="73">
        <v>13746.045597361024</v>
      </c>
      <c r="AB18" s="129" t="s">
        <v>681</v>
      </c>
      <c r="AC18" s="131">
        <f>SLOPE('بتا و نرخ تنزیل'!G6:G64,'بتا و نرخ تنزیل'!E6:E64)</f>
        <v>1.2667105582142586</v>
      </c>
    </row>
    <row r="19" spans="2:29" ht="20.45" thickBot="1" x14ac:dyDescent="0.7">
      <c r="B19" s="274" t="s">
        <v>666</v>
      </c>
      <c r="C19" s="576">
        <f>C17/C18</f>
        <v>67810.556692821861</v>
      </c>
      <c r="D19" s="576">
        <f>D17/D18</f>
        <v>202622.73218179945</v>
      </c>
      <c r="E19" s="577">
        <f t="shared" ref="E19:H19" si="10">E17/E18</f>
        <v>297003.4959954173</v>
      </c>
      <c r="F19" s="577">
        <f t="shared" si="10"/>
        <v>373309.47752961103</v>
      </c>
      <c r="G19" s="577">
        <f t="shared" si="10"/>
        <v>464044.41998472484</v>
      </c>
      <c r="H19" s="578">
        <f t="shared" si="10"/>
        <v>570470.28538484429</v>
      </c>
      <c r="K19" s="266"/>
      <c r="L19" s="252"/>
      <c r="M19" s="271"/>
      <c r="R19" s="80">
        <v>0.36499999999999999</v>
      </c>
      <c r="S19" s="73">
        <v>14610.503381073197</v>
      </c>
      <c r="U19" s="29">
        <v>0.84</v>
      </c>
      <c r="V19" s="31">
        <v>14539.048420848916</v>
      </c>
      <c r="X19" s="296">
        <v>325000</v>
      </c>
      <c r="Y19" s="73">
        <v>13831.164037044242</v>
      </c>
      <c r="AB19" s="132" t="s">
        <v>677</v>
      </c>
      <c r="AC19" s="133">
        <f>(AC17-AC16)/AC18+AC16</f>
        <v>0.32262802276099056</v>
      </c>
    </row>
    <row r="20" spans="2:29" ht="20.45" thickBot="1" x14ac:dyDescent="0.7">
      <c r="B20" s="120"/>
      <c r="C20" s="120"/>
      <c r="D20" s="120"/>
      <c r="E20" s="120"/>
      <c r="F20" s="120"/>
      <c r="G20" s="120"/>
      <c r="H20" s="120"/>
      <c r="K20" s="267" t="s">
        <v>706</v>
      </c>
      <c r="L20" s="268">
        <f>AVERAGE(L16:L18)</f>
        <v>13362.904556730226</v>
      </c>
      <c r="M20" s="272"/>
      <c r="R20" s="29">
        <v>0.37</v>
      </c>
      <c r="S20" s="73">
        <v>14080.880744386295</v>
      </c>
      <c r="U20" s="294">
        <v>0.87</v>
      </c>
      <c r="V20" s="31">
        <v>14771.182078240754</v>
      </c>
      <c r="X20" s="296">
        <v>330000</v>
      </c>
      <c r="Y20" s="73">
        <v>13916.282476727794</v>
      </c>
      <c r="AC20" s="290"/>
    </row>
    <row r="21" spans="2:29" x14ac:dyDescent="0.65">
      <c r="B21" s="120"/>
      <c r="C21" s="120"/>
      <c r="D21" s="120"/>
      <c r="E21" s="120"/>
      <c r="F21" s="120"/>
      <c r="G21" s="120"/>
      <c r="H21" s="120"/>
      <c r="R21" s="80">
        <v>0.375</v>
      </c>
      <c r="S21" s="73">
        <v>13565.320243928807</v>
      </c>
      <c r="U21" s="29">
        <v>0.9</v>
      </c>
      <c r="V21" s="31">
        <v>15003.315735632612</v>
      </c>
      <c r="X21" s="296">
        <v>335000</v>
      </c>
      <c r="Y21" s="73">
        <v>14001.40091641139</v>
      </c>
    </row>
    <row r="22" spans="2:29" x14ac:dyDescent="0.65">
      <c r="B22" s="176" t="s">
        <v>614</v>
      </c>
      <c r="C22" s="240" t="s">
        <v>633</v>
      </c>
      <c r="D22" s="240">
        <v>1400</v>
      </c>
      <c r="E22" s="114">
        <v>1401</v>
      </c>
      <c r="F22" s="114">
        <v>1402</v>
      </c>
      <c r="G22" s="114">
        <v>1403</v>
      </c>
      <c r="H22" s="115">
        <v>1404</v>
      </c>
      <c r="R22" s="29">
        <v>0.38</v>
      </c>
      <c r="S22" s="73">
        <v>13063.2501748465</v>
      </c>
      <c r="U22" s="294">
        <v>0.93</v>
      </c>
      <c r="V22" s="31">
        <v>15235.449393024455</v>
      </c>
      <c r="X22" s="296">
        <v>340000</v>
      </c>
      <c r="Y22" s="73">
        <v>14086.519356095208</v>
      </c>
    </row>
    <row r="23" spans="2:29" x14ac:dyDescent="0.65">
      <c r="B23" s="177" t="s">
        <v>128</v>
      </c>
      <c r="C23" s="251">
        <v>350</v>
      </c>
      <c r="D23" s="251">
        <v>350</v>
      </c>
      <c r="E23" s="252">
        <v>350</v>
      </c>
      <c r="F23" s="252">
        <v>350</v>
      </c>
      <c r="G23" s="252">
        <v>350</v>
      </c>
      <c r="H23" s="121">
        <v>350</v>
      </c>
      <c r="R23" s="80">
        <v>0.38500000000000001</v>
      </c>
      <c r="S23" s="73">
        <v>12574.121904279687</v>
      </c>
      <c r="U23" s="29">
        <v>0.96</v>
      </c>
      <c r="V23" s="31">
        <v>15467.5830504163</v>
      </c>
    </row>
    <row r="24" spans="2:29" x14ac:dyDescent="0.65">
      <c r="B24" s="177" t="s">
        <v>631</v>
      </c>
      <c r="C24" s="241">
        <v>31937.5</v>
      </c>
      <c r="D24" s="241">
        <v>127750</v>
      </c>
      <c r="E24" s="117">
        <v>127750</v>
      </c>
      <c r="F24" s="117">
        <v>127750</v>
      </c>
      <c r="G24" s="117">
        <v>127750</v>
      </c>
      <c r="H24" s="175">
        <v>127750</v>
      </c>
      <c r="R24" s="29">
        <v>0.39</v>
      </c>
      <c r="S24" s="73">
        <v>12097.404723432404</v>
      </c>
    </row>
    <row r="25" spans="2:29" x14ac:dyDescent="0.65">
      <c r="B25" s="177" t="s">
        <v>138</v>
      </c>
      <c r="C25" s="242">
        <v>0.91400000000000003</v>
      </c>
      <c r="D25" s="242">
        <v>0.91100000000000003</v>
      </c>
      <c r="E25" s="243">
        <f>E6</f>
        <v>0.90500000000000003</v>
      </c>
      <c r="F25" s="243">
        <f t="shared" ref="F25:H25" si="11">F6</f>
        <v>0.9</v>
      </c>
      <c r="G25" s="243">
        <f t="shared" si="11"/>
        <v>0.89500000000000002</v>
      </c>
      <c r="H25" s="244">
        <f t="shared" si="11"/>
        <v>0.89</v>
      </c>
      <c r="R25" s="80">
        <v>0.39500000000000002</v>
      </c>
      <c r="S25" s="73">
        <v>11632.578349927428</v>
      </c>
    </row>
    <row r="26" spans="2:29" x14ac:dyDescent="0.65">
      <c r="B26" s="177" t="s">
        <v>632</v>
      </c>
      <c r="C26" s="241">
        <v>29190.875</v>
      </c>
      <c r="D26" s="241">
        <v>116380</v>
      </c>
      <c r="E26" s="117">
        <f>E25*E24</f>
        <v>115613.75</v>
      </c>
      <c r="F26" s="117">
        <f>F25*F24</f>
        <v>114975</v>
      </c>
      <c r="G26" s="117">
        <f t="shared" ref="G26:H26" si="12">G25*G24</f>
        <v>114336.25</v>
      </c>
      <c r="H26" s="175">
        <f t="shared" si="12"/>
        <v>113697.5</v>
      </c>
      <c r="R26" s="29">
        <v>0.4</v>
      </c>
      <c r="S26" s="73">
        <v>11179.120559265752</v>
      </c>
    </row>
    <row r="27" spans="2:29" x14ac:dyDescent="0.65">
      <c r="B27" s="177" t="s">
        <v>47</v>
      </c>
      <c r="C27" s="242">
        <v>0.94374386810483513</v>
      </c>
      <c r="D27" s="242">
        <v>0.94374386810483513</v>
      </c>
      <c r="E27" s="243">
        <v>0.94374386810483513</v>
      </c>
      <c r="F27" s="243">
        <v>0.94374386810483513</v>
      </c>
      <c r="G27" s="243">
        <v>0.94374386810483513</v>
      </c>
      <c r="H27" s="244">
        <v>0.94374386810483513</v>
      </c>
      <c r="R27" s="80">
        <v>0.40500000000000003</v>
      </c>
      <c r="S27" s="73">
        <v>10736.484063118856</v>
      </c>
    </row>
    <row r="28" spans="2:29" x14ac:dyDescent="0.65">
      <c r="B28" s="177" t="s">
        <v>649</v>
      </c>
      <c r="C28" s="241">
        <f>C27*C26</f>
        <v>27548.70928586473</v>
      </c>
      <c r="D28" s="241">
        <f t="shared" ref="D28:H28" si="13">D27*D26</f>
        <v>109832.91137004072</v>
      </c>
      <c r="E28" s="117">
        <f t="shared" si="13"/>
        <v>109109.76763110538</v>
      </c>
      <c r="F28" s="117">
        <f t="shared" si="13"/>
        <v>108506.95123535342</v>
      </c>
      <c r="G28" s="117">
        <f t="shared" si="13"/>
        <v>107904.13483960145</v>
      </c>
      <c r="H28" s="175">
        <f t="shared" si="13"/>
        <v>107301.31844384949</v>
      </c>
      <c r="R28" s="29">
        <v>0.41</v>
      </c>
      <c r="S28" s="73">
        <v>10304.04733131775</v>
      </c>
    </row>
    <row r="29" spans="2:29" x14ac:dyDescent="0.65">
      <c r="B29" s="177" t="s">
        <v>48</v>
      </c>
      <c r="C29" s="242">
        <v>5.6256131895164874E-2</v>
      </c>
      <c r="D29" s="242">
        <v>5.6256131895164874E-2</v>
      </c>
      <c r="E29" s="243">
        <v>5.6256131895164874E-2</v>
      </c>
      <c r="F29" s="243">
        <v>5.6256131895164874E-2</v>
      </c>
      <c r="G29" s="243">
        <v>5.6256131895164874E-2</v>
      </c>
      <c r="H29" s="244">
        <v>5.6256131895164874E-2</v>
      </c>
      <c r="R29" s="80">
        <v>0.41499999999999998</v>
      </c>
      <c r="S29" s="73">
        <v>9880.9935191338209</v>
      </c>
    </row>
    <row r="30" spans="2:29" x14ac:dyDescent="0.65">
      <c r="B30" s="177" t="s">
        <v>650</v>
      </c>
      <c r="C30" s="241">
        <v>1642.1657141352709</v>
      </c>
      <c r="D30" s="241">
        <v>6547.1026939922622</v>
      </c>
      <c r="E30" s="117">
        <f>E29*E26</f>
        <v>6503.982368894618</v>
      </c>
      <c r="F30" s="117">
        <f t="shared" ref="F30:H30" si="14">F29*F26</f>
        <v>6468.0487646465817</v>
      </c>
      <c r="G30" s="117">
        <f t="shared" si="14"/>
        <v>6432.1151603985445</v>
      </c>
      <c r="H30" s="175">
        <f t="shared" si="14"/>
        <v>6396.1815561505082</v>
      </c>
      <c r="R30" s="283"/>
    </row>
    <row r="31" spans="2:29" x14ac:dyDescent="0.65">
      <c r="B31" s="177" t="s">
        <v>705</v>
      </c>
      <c r="C31" s="251">
        <v>87.115000000000009</v>
      </c>
      <c r="D31" s="251">
        <v>73.716250000000002</v>
      </c>
      <c r="E31" s="253">
        <v>82</v>
      </c>
      <c r="F31" s="253">
        <v>83</v>
      </c>
      <c r="G31" s="253">
        <v>83</v>
      </c>
      <c r="H31" s="254">
        <v>82</v>
      </c>
      <c r="R31" s="282"/>
    </row>
    <row r="32" spans="2:29" x14ac:dyDescent="0.65">
      <c r="B32" s="177" t="s">
        <v>607</v>
      </c>
      <c r="C32" s="251"/>
      <c r="D32" s="251"/>
      <c r="E32" s="243">
        <f>E31/D31-1</f>
        <v>0.11237345904057783</v>
      </c>
      <c r="F32" s="243">
        <f t="shared" ref="F32:H32" si="15">F31/E31-1</f>
        <v>1.2195121951219523E-2</v>
      </c>
      <c r="G32" s="243">
        <f t="shared" si="15"/>
        <v>0</v>
      </c>
      <c r="H32" s="244">
        <f t="shared" si="15"/>
        <v>-1.2048192771084376E-2</v>
      </c>
      <c r="R32" s="283"/>
    </row>
    <row r="33" spans="2:18" x14ac:dyDescent="0.65">
      <c r="B33" s="177" t="s">
        <v>612</v>
      </c>
      <c r="C33" s="255">
        <v>83.026570397111911</v>
      </c>
      <c r="D33" s="255">
        <v>72.22225119579025</v>
      </c>
      <c r="E33" s="125">
        <f>D33*(E32+1)</f>
        <v>80.338115382358708</v>
      </c>
      <c r="F33" s="125">
        <f t="shared" ref="F33:H33" si="16">E33*(F32+1)</f>
        <v>81.317848496777714</v>
      </c>
      <c r="G33" s="125">
        <f t="shared" si="16"/>
        <v>81.317848496777714</v>
      </c>
      <c r="H33" s="126">
        <f t="shared" si="16"/>
        <v>80.338115382358708</v>
      </c>
      <c r="R33" s="282"/>
    </row>
    <row r="34" spans="2:18" x14ac:dyDescent="0.65">
      <c r="B34" s="177" t="s">
        <v>18</v>
      </c>
      <c r="C34" s="251">
        <v>0.05</v>
      </c>
      <c r="D34" s="251">
        <v>0.05</v>
      </c>
      <c r="E34" s="252">
        <v>0.05</v>
      </c>
      <c r="F34" s="252">
        <v>0.05</v>
      </c>
      <c r="G34" s="252">
        <v>0.05</v>
      </c>
      <c r="H34" s="121">
        <v>0.05</v>
      </c>
      <c r="R34" s="283"/>
    </row>
    <row r="35" spans="2:18" x14ac:dyDescent="0.65">
      <c r="B35" s="177" t="s">
        <v>613</v>
      </c>
      <c r="C35" s="255">
        <v>78.875241877256315</v>
      </c>
      <c r="D35" s="255">
        <v>68.611138636000732</v>
      </c>
      <c r="E35" s="125">
        <f>E33*(1-E34)</f>
        <v>76.321209613240768</v>
      </c>
      <c r="F35" s="125">
        <f t="shared" ref="F35:H35" si="17">F33*(1-F34)</f>
        <v>77.251956071938821</v>
      </c>
      <c r="G35" s="125">
        <f t="shared" si="17"/>
        <v>77.251956071938821</v>
      </c>
      <c r="H35" s="126">
        <f t="shared" si="17"/>
        <v>76.321209613240768</v>
      </c>
      <c r="R35" s="282"/>
    </row>
    <row r="36" spans="2:18" x14ac:dyDescent="0.65">
      <c r="B36" s="177" t="s">
        <v>655</v>
      </c>
      <c r="C36" s="241">
        <v>254534.51100000003</v>
      </c>
      <c r="D36" s="241">
        <v>226259.63594470045</v>
      </c>
      <c r="E36" s="117">
        <f>E14</f>
        <v>297493.6522533698</v>
      </c>
      <c r="F36" s="117">
        <f t="shared" ref="F36:H36" si="18">F14</f>
        <v>371867.06531671225</v>
      </c>
      <c r="G36" s="117">
        <f t="shared" si="18"/>
        <v>464833.83164589031</v>
      </c>
      <c r="H36" s="175">
        <f t="shared" si="18"/>
        <v>581042.28955736291</v>
      </c>
    </row>
    <row r="37" spans="2:18" x14ac:dyDescent="0.65">
      <c r="B37" s="177" t="s">
        <v>623</v>
      </c>
      <c r="C37" s="241">
        <v>20076471.12123416</v>
      </c>
      <c r="D37" s="241">
        <v>15523931.249532897</v>
      </c>
      <c r="E37" s="117">
        <f>E35*E36</f>
        <v>22705075.392237995</v>
      </c>
      <c r="F37" s="117">
        <f t="shared" ref="F37:H37" si="19">F35*F36</f>
        <v>28727458.194447458</v>
      </c>
      <c r="G37" s="117">
        <f t="shared" si="19"/>
        <v>35909322.743059322</v>
      </c>
      <c r="H37" s="175">
        <f t="shared" si="19"/>
        <v>44345850.375464834</v>
      </c>
    </row>
    <row r="38" spans="2:18" x14ac:dyDescent="0.65">
      <c r="B38" s="177" t="s">
        <v>667</v>
      </c>
      <c r="C38" s="241">
        <v>55308.086640493864</v>
      </c>
      <c r="D38" s="241">
        <v>170504.22276982834</v>
      </c>
      <c r="E38" s="117">
        <f>E37*E28*1000/10000000000</f>
        <v>247734.55000938164</v>
      </c>
      <c r="F38" s="117">
        <f>F37*F28*1000/10000000000</f>
        <v>311712.89054205647</v>
      </c>
      <c r="G38" s="117">
        <f>G37*G28*1000/10000000000</f>
        <v>387476.44032658404</v>
      </c>
      <c r="H38" s="117">
        <f>H37*H28*1000/10000000000</f>
        <v>475836.82128010551</v>
      </c>
    </row>
    <row r="39" spans="2:18" x14ac:dyDescent="0.65">
      <c r="B39" s="177" t="s">
        <v>615</v>
      </c>
      <c r="C39" s="242">
        <v>0.98270079588658499</v>
      </c>
      <c r="D39" s="242">
        <v>0.98270079588658499</v>
      </c>
      <c r="E39" s="243">
        <v>0.98270079588658499</v>
      </c>
      <c r="F39" s="243">
        <v>0.98270079588658499</v>
      </c>
      <c r="G39" s="243">
        <v>0.98270079588658499</v>
      </c>
      <c r="H39" s="244">
        <v>0.98270079588658499</v>
      </c>
    </row>
    <row r="40" spans="2:18" x14ac:dyDescent="0.65">
      <c r="B40" s="177" t="s">
        <v>668</v>
      </c>
      <c r="C40" s="241">
        <v>3239.8556934742096</v>
      </c>
      <c r="D40" s="241">
        <v>9987.8536839091557</v>
      </c>
      <c r="E40" s="117">
        <f>E39*E37*E30*1000/10000000000</f>
        <v>14511.877757321019</v>
      </c>
      <c r="F40" s="117">
        <f t="shared" ref="F40:H40" si="20">F39*F37*F30*1000/10000000000</f>
        <v>18259.622498178811</v>
      </c>
      <c r="G40" s="117">
        <f t="shared" si="20"/>
        <v>22697.72518870838</v>
      </c>
      <c r="H40" s="175">
        <f t="shared" si="20"/>
        <v>27873.729290434439</v>
      </c>
    </row>
    <row r="41" spans="2:18" x14ac:dyDescent="0.65">
      <c r="B41" s="177" t="s">
        <v>669</v>
      </c>
      <c r="C41" s="241">
        <v>58547.942333968072</v>
      </c>
      <c r="D41" s="241">
        <v>180492.07645373751</v>
      </c>
      <c r="E41" s="117">
        <f>E40+E38</f>
        <v>262246.42776670266</v>
      </c>
      <c r="F41" s="117">
        <f t="shared" ref="F41:H41" si="21">F40+F38</f>
        <v>329972.51304023527</v>
      </c>
      <c r="G41" s="117">
        <f t="shared" si="21"/>
        <v>410174.16551529244</v>
      </c>
      <c r="H41" s="175">
        <f t="shared" si="21"/>
        <v>503710.55057053996</v>
      </c>
    </row>
    <row r="42" spans="2:18" x14ac:dyDescent="0.65">
      <c r="B42" s="177" t="s">
        <v>25</v>
      </c>
      <c r="C42" s="242">
        <v>0.98145538062041804</v>
      </c>
      <c r="D42" s="242">
        <v>0.98145538062041804</v>
      </c>
      <c r="E42" s="243">
        <v>0.98145538062041804</v>
      </c>
      <c r="F42" s="243">
        <v>0.98145538062041804</v>
      </c>
      <c r="G42" s="243">
        <v>0.98145538062041804</v>
      </c>
      <c r="H42" s="244">
        <v>0.98145538062041804</v>
      </c>
    </row>
    <row r="43" spans="2:18" x14ac:dyDescent="0.65">
      <c r="B43" s="179" t="s">
        <v>670</v>
      </c>
      <c r="C43" s="256">
        <v>57462.193027926922</v>
      </c>
      <c r="D43" s="256">
        <v>177144.91959487254</v>
      </c>
      <c r="E43" s="257">
        <f>E42*E41</f>
        <v>257383.16758011412</v>
      </c>
      <c r="F43" s="257">
        <f t="shared" ref="F43:H43" si="22">F42*F41</f>
        <v>323853.29838017997</v>
      </c>
      <c r="G43" s="257">
        <f t="shared" si="22"/>
        <v>402567.64173647371</v>
      </c>
      <c r="H43" s="258">
        <f t="shared" si="22"/>
        <v>494369.43013272964</v>
      </c>
    </row>
    <row r="44" spans="2:18" x14ac:dyDescent="0.65">
      <c r="B44" s="120"/>
      <c r="C44" s="120"/>
      <c r="D44" s="120"/>
      <c r="E44" s="120"/>
      <c r="F44" s="120"/>
      <c r="G44" s="120"/>
      <c r="H44" s="120"/>
    </row>
    <row r="45" spans="2:18" x14ac:dyDescent="0.65">
      <c r="B45" s="176" t="s">
        <v>52</v>
      </c>
      <c r="C45" s="114">
        <v>1400</v>
      </c>
      <c r="D45" s="114">
        <v>1401</v>
      </c>
      <c r="E45" s="114">
        <v>1402</v>
      </c>
      <c r="F45" s="114">
        <v>1403</v>
      </c>
      <c r="G45" s="115">
        <v>1404</v>
      </c>
      <c r="H45" s="120"/>
    </row>
    <row r="46" spans="2:18" x14ac:dyDescent="0.65">
      <c r="B46" s="177" t="s">
        <v>728</v>
      </c>
      <c r="C46" s="259">
        <f>D19</f>
        <v>202622.73218179945</v>
      </c>
      <c r="D46" s="259">
        <f t="shared" ref="D46:G46" si="23">E19</f>
        <v>297003.4959954173</v>
      </c>
      <c r="E46" s="259">
        <f t="shared" si="23"/>
        <v>373309.47752961103</v>
      </c>
      <c r="F46" s="259">
        <f t="shared" si="23"/>
        <v>464044.41998472484</v>
      </c>
      <c r="G46" s="260">
        <f t="shared" si="23"/>
        <v>570470.28538484429</v>
      </c>
      <c r="H46" s="120"/>
    </row>
    <row r="47" spans="2:18" x14ac:dyDescent="0.65">
      <c r="B47" s="177" t="s">
        <v>729</v>
      </c>
      <c r="C47" s="259">
        <f>-D43</f>
        <v>-177144.91959487254</v>
      </c>
      <c r="D47" s="259">
        <f t="shared" ref="D47:G47" si="24">-E43</f>
        <v>-257383.16758011412</v>
      </c>
      <c r="E47" s="259">
        <f t="shared" si="24"/>
        <v>-323853.29838017997</v>
      </c>
      <c r="F47" s="259">
        <f t="shared" si="24"/>
        <v>-402567.64173647371</v>
      </c>
      <c r="G47" s="260">
        <f t="shared" si="24"/>
        <v>-494369.43013272964</v>
      </c>
      <c r="H47" s="120"/>
    </row>
    <row r="48" spans="2:18" x14ac:dyDescent="0.65">
      <c r="B48" s="177" t="s">
        <v>730</v>
      </c>
      <c r="C48" s="117">
        <f>C47+C46</f>
        <v>25477.812586926913</v>
      </c>
      <c r="D48" s="117">
        <f t="shared" ref="D48:G48" si="25">D47+D46</f>
        <v>39620.328415303171</v>
      </c>
      <c r="E48" s="117">
        <f t="shared" si="25"/>
        <v>49456.17914943106</v>
      </c>
      <c r="F48" s="117">
        <f t="shared" si="25"/>
        <v>61476.778248251125</v>
      </c>
      <c r="G48" s="175">
        <f t="shared" si="25"/>
        <v>76100.855252114648</v>
      </c>
      <c r="H48" s="120"/>
    </row>
    <row r="49" spans="2:8" x14ac:dyDescent="0.65">
      <c r="B49" s="177" t="s">
        <v>731</v>
      </c>
      <c r="C49" s="117">
        <f>-0.0848*C48</f>
        <v>-2160.5185073714024</v>
      </c>
      <c r="D49" s="117">
        <f>-0.0848*D48</f>
        <v>-3359.8038496177087</v>
      </c>
      <c r="E49" s="117">
        <f>-0.0848*E48</f>
        <v>-4193.883991871754</v>
      </c>
      <c r="F49" s="117">
        <f>-0.0848*F48</f>
        <v>-5213.2307954516955</v>
      </c>
      <c r="G49" s="175">
        <f>-0.0848*G48</f>
        <v>-6453.3525253793223</v>
      </c>
      <c r="H49" s="120"/>
    </row>
    <row r="50" spans="2:8" x14ac:dyDescent="0.65">
      <c r="B50" s="177" t="s">
        <v>732</v>
      </c>
      <c r="C50" s="261">
        <v>8.4197484965240849E-2</v>
      </c>
      <c r="D50" s="261">
        <f>C50*1.3998</f>
        <v>0.11785963945434413</v>
      </c>
      <c r="E50" s="261">
        <f t="shared" ref="E50:G50" si="26">D50*1.3998</f>
        <v>0.16497992330819092</v>
      </c>
      <c r="F50" s="261">
        <f t="shared" si="26"/>
        <v>0.23093889664680564</v>
      </c>
      <c r="G50" s="262">
        <f t="shared" si="26"/>
        <v>0.32326826752619853</v>
      </c>
      <c r="H50" s="120"/>
    </row>
    <row r="51" spans="2:8" x14ac:dyDescent="0.65">
      <c r="B51" s="177" t="s">
        <v>733</v>
      </c>
      <c r="C51" s="117">
        <f>C50+C49+C48</f>
        <v>23317.378277040476</v>
      </c>
      <c r="D51" s="117">
        <f t="shared" ref="D51:G51" si="27">D50+D49+D48</f>
        <v>36260.642425324913</v>
      </c>
      <c r="E51" s="117">
        <f t="shared" si="27"/>
        <v>45262.460137482616</v>
      </c>
      <c r="F51" s="117">
        <f t="shared" si="27"/>
        <v>56263.778391696076</v>
      </c>
      <c r="G51" s="175">
        <f t="shared" si="27"/>
        <v>69647.825995002859</v>
      </c>
      <c r="H51" s="120"/>
    </row>
    <row r="52" spans="2:8" x14ac:dyDescent="0.65">
      <c r="B52" s="177" t="s">
        <v>734</v>
      </c>
      <c r="C52" s="125">
        <v>-2.2215679999999998E-2</v>
      </c>
      <c r="D52" s="125">
        <v>-2.2215679999999998E-2</v>
      </c>
      <c r="E52" s="125">
        <v>-2.2215679999999998E-2</v>
      </c>
      <c r="F52" s="125">
        <v>-2.2215679999999998E-2</v>
      </c>
      <c r="G52" s="126">
        <v>-2.2215679999999998E-2</v>
      </c>
      <c r="H52" s="120"/>
    </row>
    <row r="53" spans="2:8" x14ac:dyDescent="0.65">
      <c r="B53" s="177" t="s">
        <v>738</v>
      </c>
      <c r="C53" s="117">
        <f>0.0516*C48</f>
        <v>1314.6551294854287</v>
      </c>
      <c r="D53" s="117">
        <f t="shared" ref="D53:G53" si="28">0.0516*D48</f>
        <v>2044.4089462296436</v>
      </c>
      <c r="E53" s="117">
        <f t="shared" si="28"/>
        <v>2551.9388441106425</v>
      </c>
      <c r="F53" s="117">
        <f t="shared" si="28"/>
        <v>3172.2017576097583</v>
      </c>
      <c r="G53" s="175">
        <f t="shared" si="28"/>
        <v>3926.8041310091157</v>
      </c>
      <c r="H53" s="120"/>
    </row>
    <row r="54" spans="2:8" x14ac:dyDescent="0.65">
      <c r="B54" s="177" t="s">
        <v>737</v>
      </c>
      <c r="C54" s="117">
        <f>C53+C52+C51</f>
        <v>24632.011190845904</v>
      </c>
      <c r="D54" s="117">
        <f t="shared" ref="D54:G54" si="29">D53+D52+D51</f>
        <v>38305.029155874559</v>
      </c>
      <c r="E54" s="117">
        <f t="shared" si="29"/>
        <v>47814.376765913257</v>
      </c>
      <c r="F54" s="117">
        <f t="shared" si="29"/>
        <v>59435.957933625832</v>
      </c>
      <c r="G54" s="175">
        <f t="shared" si="29"/>
        <v>73574.607910331979</v>
      </c>
      <c r="H54" s="120"/>
    </row>
    <row r="55" spans="2:8" x14ac:dyDescent="0.65">
      <c r="B55" s="177" t="s">
        <v>68</v>
      </c>
      <c r="C55" s="252">
        <v>18.5</v>
      </c>
      <c r="D55" s="252">
        <v>18.5</v>
      </c>
      <c r="E55" s="252">
        <v>18.5</v>
      </c>
      <c r="F55" s="252">
        <v>18.5</v>
      </c>
      <c r="G55" s="121">
        <v>18.5</v>
      </c>
      <c r="H55" s="120"/>
    </row>
    <row r="56" spans="2:8" x14ac:dyDescent="0.65">
      <c r="B56" s="177" t="s">
        <v>736</v>
      </c>
      <c r="C56" s="117">
        <f>C55/100*C54</f>
        <v>4556.9220703064921</v>
      </c>
      <c r="D56" s="117">
        <f t="shared" ref="D56:G56" si="30">D55/100*D54</f>
        <v>7086.430393836793</v>
      </c>
      <c r="E56" s="117">
        <f t="shared" si="30"/>
        <v>8845.6597016939522</v>
      </c>
      <c r="F56" s="117">
        <f t="shared" si="30"/>
        <v>10995.652217720779</v>
      </c>
      <c r="G56" s="175">
        <f t="shared" si="30"/>
        <v>13611.302463411415</v>
      </c>
      <c r="H56" s="120"/>
    </row>
    <row r="57" spans="2:8" x14ac:dyDescent="0.65">
      <c r="B57" s="177" t="s">
        <v>735</v>
      </c>
      <c r="C57" s="117">
        <f>C54-C56</f>
        <v>20075.089120539411</v>
      </c>
      <c r="D57" s="117">
        <f t="shared" ref="D57:G57" si="31">D54-D56</f>
        <v>31218.598762037767</v>
      </c>
      <c r="E57" s="117">
        <f t="shared" si="31"/>
        <v>38968.717064219309</v>
      </c>
      <c r="F57" s="117">
        <f t="shared" si="31"/>
        <v>48440.305715905051</v>
      </c>
      <c r="G57" s="175">
        <f t="shared" si="31"/>
        <v>59963.305446920567</v>
      </c>
      <c r="H57" s="120"/>
    </row>
    <row r="58" spans="2:8" x14ac:dyDescent="0.65">
      <c r="B58" s="177" t="s">
        <v>63</v>
      </c>
      <c r="C58" s="252">
        <v>0</v>
      </c>
      <c r="D58" s="252">
        <v>0</v>
      </c>
      <c r="E58" s="252">
        <v>0</v>
      </c>
      <c r="F58" s="252">
        <v>0</v>
      </c>
      <c r="G58" s="121">
        <v>0</v>
      </c>
      <c r="H58" s="120"/>
    </row>
    <row r="59" spans="2:8" x14ac:dyDescent="0.65">
      <c r="B59" s="177" t="s">
        <v>739</v>
      </c>
      <c r="C59" s="259">
        <f>C57</f>
        <v>20075.089120539411</v>
      </c>
      <c r="D59" s="259">
        <f t="shared" ref="D59:G59" si="32">D57</f>
        <v>31218.598762037767</v>
      </c>
      <c r="E59" s="259">
        <f t="shared" si="32"/>
        <v>38968.717064219309</v>
      </c>
      <c r="F59" s="259">
        <f t="shared" si="32"/>
        <v>48440.305715905051</v>
      </c>
      <c r="G59" s="260">
        <f t="shared" si="32"/>
        <v>59963.305446920567</v>
      </c>
      <c r="H59" s="120"/>
    </row>
    <row r="60" spans="2:8" x14ac:dyDescent="0.65">
      <c r="B60" s="177" t="s">
        <v>671</v>
      </c>
      <c r="C60" s="259">
        <f>C59/C61*10000000000</f>
        <v>1494.3279671508205</v>
      </c>
      <c r="D60" s="259">
        <f t="shared" ref="D60:G60" si="33">D59/D61*10000000000</f>
        <v>2323.8165940515401</v>
      </c>
      <c r="E60" s="259">
        <f t="shared" si="33"/>
        <v>2900.7115935276934</v>
      </c>
      <c r="F60" s="259">
        <f t="shared" si="33"/>
        <v>3605.7475577805899</v>
      </c>
      <c r="G60" s="260">
        <f t="shared" si="33"/>
        <v>4463.4842612211969</v>
      </c>
      <c r="H60" s="120"/>
    </row>
    <row r="61" spans="2:8" x14ac:dyDescent="0.65">
      <c r="B61" s="179" t="s">
        <v>66</v>
      </c>
      <c r="C61" s="257">
        <v>134341922000</v>
      </c>
      <c r="D61" s="257">
        <v>134341922000</v>
      </c>
      <c r="E61" s="257">
        <v>134341922000</v>
      </c>
      <c r="F61" s="257">
        <v>134341922000</v>
      </c>
      <c r="G61" s="258">
        <v>134341922000</v>
      </c>
      <c r="H61" s="120"/>
    </row>
  </sheetData>
  <mergeCells count="1">
    <mergeCell ref="AB15:AC1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1"/>
  <sheetViews>
    <sheetView zoomScale="40" zoomScaleNormal="40" workbookViewId="0">
      <selection activeCell="AB45" sqref="AB45"/>
    </sheetView>
  </sheetViews>
  <sheetFormatPr defaultColWidth="8.90625" defaultRowHeight="16.7" x14ac:dyDescent="0.55000000000000004"/>
  <cols>
    <col min="1" max="5" width="8.90625" style="134"/>
    <col min="6" max="6" width="24.08984375" style="134" bestFit="1" customWidth="1"/>
    <col min="7" max="7" width="24.54296875" style="134" bestFit="1" customWidth="1"/>
    <col min="8" max="9" width="8.90625" style="134"/>
    <col min="10" max="10" width="2.453125" style="238" customWidth="1"/>
    <col min="11" max="11" width="8.90625" style="134"/>
    <col min="12" max="12" width="21.90625" style="134" bestFit="1" customWidth="1"/>
    <col min="13" max="13" width="8.90625" style="134"/>
    <col min="14" max="14" width="13.453125" style="134" bestFit="1" customWidth="1"/>
    <col min="15" max="16384" width="8.90625" style="134"/>
  </cols>
  <sheetData>
    <row r="1" spans="2:17" x14ac:dyDescent="0.55000000000000004">
      <c r="M1" s="191"/>
      <c r="N1" s="192"/>
      <c r="O1" s="192"/>
      <c r="P1" s="192"/>
      <c r="Q1" s="193"/>
    </row>
    <row r="2" spans="2:17" x14ac:dyDescent="0.55000000000000004">
      <c r="B2" s="608" t="s">
        <v>707</v>
      </c>
      <c r="C2" s="610"/>
      <c r="D2" s="611"/>
      <c r="E2" s="143"/>
      <c r="F2" s="143"/>
      <c r="G2" s="143"/>
      <c r="M2" s="605" t="s">
        <v>708</v>
      </c>
      <c r="N2" s="606"/>
      <c r="O2" s="606"/>
      <c r="P2" s="606"/>
      <c r="Q2" s="607"/>
    </row>
    <row r="3" spans="2:17" x14ac:dyDescent="0.55000000000000004">
      <c r="B3" s="236" t="s">
        <v>682</v>
      </c>
      <c r="C3" s="236" t="s">
        <v>641</v>
      </c>
      <c r="D3" s="236" t="s">
        <v>642</v>
      </c>
      <c r="M3" s="194" t="s">
        <v>682</v>
      </c>
      <c r="N3" s="141" t="s">
        <v>709</v>
      </c>
      <c r="P3" s="608" t="s">
        <v>710</v>
      </c>
      <c r="Q3" s="609"/>
    </row>
    <row r="4" spans="2:17" x14ac:dyDescent="0.55000000000000004">
      <c r="B4" s="141">
        <v>1400</v>
      </c>
      <c r="C4" s="195">
        <v>73.716250000000002</v>
      </c>
      <c r="D4" s="140">
        <v>0</v>
      </c>
      <c r="M4" s="194">
        <v>1392</v>
      </c>
      <c r="N4" s="196">
        <v>0.94</v>
      </c>
      <c r="P4" s="135" t="s">
        <v>711</v>
      </c>
      <c r="Q4" s="197">
        <f>MIN(N4:N12)</f>
        <v>0.8</v>
      </c>
    </row>
    <row r="5" spans="2:17" x14ac:dyDescent="0.55000000000000004">
      <c r="B5" s="141">
        <v>1401</v>
      </c>
      <c r="C5" s="140">
        <v>82</v>
      </c>
      <c r="D5" s="140">
        <v>10.81</v>
      </c>
      <c r="M5" s="194">
        <v>1393</v>
      </c>
      <c r="N5" s="196">
        <v>0.91</v>
      </c>
      <c r="P5" s="135" t="s">
        <v>712</v>
      </c>
      <c r="Q5" s="197">
        <f>MAX(N4:N12)</f>
        <v>0.94</v>
      </c>
    </row>
    <row r="6" spans="2:17" x14ac:dyDescent="0.55000000000000004">
      <c r="B6" s="141">
        <v>1402</v>
      </c>
      <c r="C6" s="140">
        <v>83</v>
      </c>
      <c r="D6" s="140">
        <v>17.04</v>
      </c>
      <c r="M6" s="194">
        <v>1394</v>
      </c>
      <c r="N6" s="196">
        <v>0.82</v>
      </c>
      <c r="P6" s="135" t="s">
        <v>641</v>
      </c>
      <c r="Q6" s="197">
        <f>AVERAGE(N4:N12)</f>
        <v>0.86988888888888882</v>
      </c>
    </row>
    <row r="7" spans="2:17" x14ac:dyDescent="0.55000000000000004">
      <c r="B7" s="141">
        <v>1403</v>
      </c>
      <c r="C7" s="140">
        <v>83</v>
      </c>
      <c r="D7" s="140">
        <v>21.45</v>
      </c>
      <c r="M7" s="194">
        <v>1395</v>
      </c>
      <c r="N7" s="196">
        <v>0.83</v>
      </c>
      <c r="P7" s="135" t="s">
        <v>642</v>
      </c>
      <c r="Q7" s="198">
        <f>_xlfn.STDEV.P(N4:N12)</f>
        <v>4.4122164861878269E-2</v>
      </c>
    </row>
    <row r="8" spans="2:17" x14ac:dyDescent="0.55000000000000004">
      <c r="B8" s="141">
        <v>1404</v>
      </c>
      <c r="C8" s="140">
        <v>82</v>
      </c>
      <c r="D8" s="140">
        <v>23.74</v>
      </c>
      <c r="M8" s="194">
        <v>1396</v>
      </c>
      <c r="N8" s="196">
        <v>0.87</v>
      </c>
      <c r="Q8" s="199"/>
    </row>
    <row r="9" spans="2:17" x14ac:dyDescent="0.55000000000000004">
      <c r="M9" s="194">
        <v>1397</v>
      </c>
      <c r="N9" s="196">
        <v>0.89</v>
      </c>
      <c r="Q9" s="199"/>
    </row>
    <row r="10" spans="2:17" x14ac:dyDescent="0.55000000000000004">
      <c r="M10" s="194">
        <v>1398</v>
      </c>
      <c r="N10" s="196">
        <v>0.86</v>
      </c>
      <c r="Q10" s="199"/>
    </row>
    <row r="11" spans="2:17" x14ac:dyDescent="0.55000000000000004">
      <c r="M11" s="194">
        <v>1399</v>
      </c>
      <c r="N11" s="196">
        <v>0.8</v>
      </c>
      <c r="Q11" s="199"/>
    </row>
    <row r="12" spans="2:17" x14ac:dyDescent="0.55000000000000004">
      <c r="M12" s="194">
        <v>1400</v>
      </c>
      <c r="N12" s="200">
        <v>0.90900000000000003</v>
      </c>
      <c r="Q12" s="199"/>
    </row>
    <row r="13" spans="2:17" x14ac:dyDescent="0.55000000000000004">
      <c r="M13" s="201"/>
      <c r="N13" s="202"/>
      <c r="Q13" s="199"/>
    </row>
    <row r="14" spans="2:17" ht="17.2" thickBot="1" x14ac:dyDescent="0.6">
      <c r="M14" s="203"/>
      <c r="N14" s="204"/>
      <c r="O14" s="204"/>
      <c r="P14" s="204"/>
      <c r="Q14" s="205"/>
    </row>
    <row r="16" spans="2:17" s="238" customFormat="1" ht="9" customHeight="1" x14ac:dyDescent="0.55000000000000004"/>
    <row r="20" spans="4:15" x14ac:dyDescent="0.55000000000000004">
      <c r="D20" s="206"/>
      <c r="E20" s="206" t="s">
        <v>699</v>
      </c>
      <c r="F20" s="206" t="s">
        <v>702</v>
      </c>
      <c r="G20" s="206" t="s">
        <v>703</v>
      </c>
      <c r="H20" s="206" t="s">
        <v>704</v>
      </c>
      <c r="L20" s="135"/>
      <c r="M20" s="135" t="s">
        <v>741</v>
      </c>
      <c r="N20" s="135" t="s">
        <v>641</v>
      </c>
      <c r="O20" s="135" t="s">
        <v>642</v>
      </c>
    </row>
    <row r="21" spans="4:15" x14ac:dyDescent="0.55000000000000004">
      <c r="D21" s="206" t="s">
        <v>697</v>
      </c>
      <c r="E21" s="206" t="s">
        <v>700</v>
      </c>
      <c r="F21" s="207">
        <v>0.2</v>
      </c>
      <c r="G21" s="208">
        <v>0.27500000000000002</v>
      </c>
      <c r="H21" s="207">
        <v>0.4</v>
      </c>
      <c r="L21" s="206" t="s">
        <v>698</v>
      </c>
      <c r="M21" s="135" t="s">
        <v>701</v>
      </c>
      <c r="N21" s="237">
        <v>0.37743710555697585</v>
      </c>
      <c r="O21" s="237">
        <v>1.9012711336396024E-2</v>
      </c>
    </row>
  </sheetData>
  <mergeCells count="3">
    <mergeCell ref="M2:Q2"/>
    <mergeCell ref="P3:Q3"/>
    <mergeCell ref="B2:D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029"/>
  <sheetViews>
    <sheetView tabSelected="1" topLeftCell="C1" zoomScale="40" zoomScaleNormal="40" workbookViewId="0">
      <selection activeCell="Q41" sqref="Q41"/>
    </sheetView>
  </sheetViews>
  <sheetFormatPr defaultColWidth="8.90625" defaultRowHeight="16.7" x14ac:dyDescent="0.55000000000000004"/>
  <cols>
    <col min="1" max="1" width="8.90625" style="103"/>
    <col min="2" max="2" width="46.6328125" style="120" bestFit="1" customWidth="1"/>
    <col min="3" max="3" width="16.08984375" style="120" bestFit="1" customWidth="1"/>
    <col min="4" max="4" width="16.36328125" style="120" bestFit="1" customWidth="1"/>
    <col min="5" max="7" width="20.81640625" style="120" bestFit="1" customWidth="1"/>
    <col min="8" max="8" width="20.6328125" style="120" bestFit="1" customWidth="1"/>
    <col min="9" max="9" width="10.81640625" style="103" bestFit="1" customWidth="1"/>
    <col min="10" max="10" width="16.08984375" style="103" customWidth="1"/>
    <col min="11" max="11" width="21.90625" style="103" bestFit="1" customWidth="1"/>
    <col min="12" max="12" width="8.90625" style="103"/>
    <col min="13" max="13" width="10.6328125" style="103" customWidth="1"/>
    <col min="14" max="14" width="11.1796875" style="103" customWidth="1"/>
    <col min="15" max="15" width="8.90625" style="103"/>
    <col min="16" max="16" width="8.90625" style="103" customWidth="1"/>
    <col min="17" max="17" width="15.6328125" style="103" bestFit="1" customWidth="1"/>
    <col min="18" max="18" width="8.90625" style="103"/>
    <col min="19" max="19" width="29.453125" style="120" bestFit="1" customWidth="1"/>
    <col min="20" max="20" width="7.90625" style="103" bestFit="1" customWidth="1"/>
    <col min="21" max="16384" width="8.90625" style="103"/>
  </cols>
  <sheetData>
    <row r="1" spans="2:32" ht="17.2" thickBot="1" x14ac:dyDescent="0.6"/>
    <row r="2" spans="2:32" ht="17.2" thickBot="1" x14ac:dyDescent="0.6">
      <c r="E2" s="239">
        <f ca="1">RAND()</f>
        <v>0.5866540229180256</v>
      </c>
      <c r="F2" s="239">
        <f t="shared" ref="F2:H2" ca="1" si="0">RAND()</f>
        <v>0.31343937601824912</v>
      </c>
      <c r="G2" s="239">
        <f t="shared" ca="1" si="0"/>
        <v>0.71637739478595919</v>
      </c>
      <c r="H2" s="239">
        <f t="shared" ca="1" si="0"/>
        <v>0.63163732256706584</v>
      </c>
      <c r="K2" s="182"/>
      <c r="L2" s="188" t="s">
        <v>699</v>
      </c>
      <c r="M2" s="188" t="s">
        <v>702</v>
      </c>
      <c r="N2" s="188" t="s">
        <v>703</v>
      </c>
      <c r="O2" s="188" t="s">
        <v>704</v>
      </c>
      <c r="P2" s="188" t="s">
        <v>641</v>
      </c>
      <c r="Q2" s="183" t="s">
        <v>642</v>
      </c>
      <c r="S2" s="120" t="s">
        <v>716</v>
      </c>
      <c r="V2" s="209">
        <v>10.81</v>
      </c>
      <c r="W2" s="209">
        <v>17.04</v>
      </c>
      <c r="X2" s="209">
        <v>21.45</v>
      </c>
      <c r="Y2" s="209">
        <v>23.74</v>
      </c>
      <c r="AC2" s="612" t="s">
        <v>697</v>
      </c>
      <c r="AD2" s="612"/>
      <c r="AE2" s="612"/>
      <c r="AF2" s="612"/>
    </row>
    <row r="3" spans="2:32" ht="17.75" thickTop="1" thickBot="1" x14ac:dyDescent="0.6">
      <c r="B3" s="176" t="s">
        <v>17</v>
      </c>
      <c r="C3" s="240" t="s">
        <v>633</v>
      </c>
      <c r="D3" s="240">
        <v>1400</v>
      </c>
      <c r="E3" s="114">
        <v>1401</v>
      </c>
      <c r="F3" s="114">
        <v>1402</v>
      </c>
      <c r="G3" s="114">
        <v>1403</v>
      </c>
      <c r="H3" s="115">
        <v>1404</v>
      </c>
      <c r="K3" s="184" t="s">
        <v>697</v>
      </c>
      <c r="L3" s="178" t="s">
        <v>700</v>
      </c>
      <c r="M3" s="162">
        <v>0.2</v>
      </c>
      <c r="N3" s="219">
        <v>0.27500000000000002</v>
      </c>
      <c r="O3" s="162">
        <v>0.4</v>
      </c>
      <c r="P3" s="220"/>
      <c r="Q3" s="221"/>
      <c r="T3" s="107" t="s">
        <v>633</v>
      </c>
      <c r="U3" s="107">
        <v>1400</v>
      </c>
      <c r="V3" s="107">
        <v>1401</v>
      </c>
      <c r="W3" s="107">
        <v>1402</v>
      </c>
      <c r="X3" s="107">
        <v>1403</v>
      </c>
      <c r="Y3" s="107">
        <v>1404</v>
      </c>
      <c r="AC3" s="212" t="s">
        <v>725</v>
      </c>
      <c r="AD3" s="212" t="s">
        <v>717</v>
      </c>
      <c r="AE3" s="218">
        <v>0.4</v>
      </c>
      <c r="AF3" s="212"/>
    </row>
    <row r="4" spans="2:32" ht="17.75" thickTop="1" thickBot="1" x14ac:dyDescent="0.6">
      <c r="B4" s="177" t="s">
        <v>126</v>
      </c>
      <c r="C4" s="241">
        <v>350000</v>
      </c>
      <c r="D4" s="241">
        <v>350000</v>
      </c>
      <c r="E4" s="117">
        <v>350000</v>
      </c>
      <c r="F4" s="117">
        <v>350000</v>
      </c>
      <c r="G4" s="117">
        <v>350000</v>
      </c>
      <c r="H4" s="175">
        <v>350000</v>
      </c>
      <c r="K4" s="184" t="s">
        <v>138</v>
      </c>
      <c r="L4" s="178" t="s">
        <v>701</v>
      </c>
      <c r="M4" s="220"/>
      <c r="N4" s="220"/>
      <c r="O4" s="220"/>
      <c r="P4" s="210">
        <f>87%</f>
        <v>0.87</v>
      </c>
      <c r="Q4" s="222">
        <v>4.3999999999999997E-2</v>
      </c>
      <c r="S4" s="273" t="s">
        <v>643</v>
      </c>
      <c r="T4" s="104">
        <f>92.23+(82-92.23)/2</f>
        <v>87.115000000000009</v>
      </c>
      <c r="U4" s="104">
        <f>69.25*3/4+T4/4</f>
        <v>73.716250000000002</v>
      </c>
      <c r="V4" s="104">
        <f ca="1">_xlfn.NORM.INV(RAND(),82,V2)</f>
        <v>79.517189393684589</v>
      </c>
      <c r="W4" s="104">
        <f ca="1">_xlfn.NORM.INV(RAND(),V4,W2)</f>
        <v>95.553872558067056</v>
      </c>
      <c r="X4" s="104">
        <f t="shared" ref="X4:Y4" ca="1" si="1">_xlfn.NORM.INV(RAND(),W4,X2)</f>
        <v>104.40175414989564</v>
      </c>
      <c r="Y4" s="104">
        <f t="shared" ca="1" si="1"/>
        <v>81.078331231791239</v>
      </c>
      <c r="AC4" s="212"/>
      <c r="AD4" s="212" t="s">
        <v>718</v>
      </c>
      <c r="AE4" s="218">
        <v>0.2</v>
      </c>
      <c r="AF4" s="212"/>
    </row>
    <row r="5" spans="2:32" ht="17.75" thickTop="1" thickBot="1" x14ac:dyDescent="0.6">
      <c r="B5" s="177" t="s">
        <v>137</v>
      </c>
      <c r="C5" s="241">
        <f>C4*365/4</f>
        <v>31937500</v>
      </c>
      <c r="D5" s="241">
        <f>D4*365</f>
        <v>127750000</v>
      </c>
      <c r="E5" s="117">
        <f t="shared" ref="E5:H5" si="2">E4*365</f>
        <v>127750000</v>
      </c>
      <c r="F5" s="117">
        <f t="shared" si="2"/>
        <v>127750000</v>
      </c>
      <c r="G5" s="117">
        <f t="shared" si="2"/>
        <v>127750000</v>
      </c>
      <c r="H5" s="175">
        <f t="shared" si="2"/>
        <v>127750000</v>
      </c>
      <c r="K5" s="184" t="s">
        <v>698</v>
      </c>
      <c r="L5" s="178" t="s">
        <v>701</v>
      </c>
      <c r="M5" s="220"/>
      <c r="N5" s="220"/>
      <c r="O5" s="220"/>
      <c r="P5" s="210">
        <f>'پیش بینی فروش'!C18</f>
        <v>0.37743710555697585</v>
      </c>
      <c r="Q5" s="222">
        <f>_xlfn.STDEV.S('پیش بینی فروش'!L6:V6)</f>
        <v>1.9012711336396024E-2</v>
      </c>
      <c r="S5" s="273" t="s">
        <v>645</v>
      </c>
      <c r="T5" s="104">
        <f>1.078*T4+8.53</f>
        <v>102.43997000000002</v>
      </c>
      <c r="U5" s="104">
        <f t="shared" ref="U5:Y5" si="3">1.078*U4+8.53</f>
        <v>87.996117500000011</v>
      </c>
      <c r="V5" s="104">
        <f t="shared" ca="1" si="3"/>
        <v>94.249530166391992</v>
      </c>
      <c r="W5" s="104">
        <f t="shared" ca="1" si="3"/>
        <v>111.53707461759629</v>
      </c>
      <c r="X5" s="104">
        <f t="shared" ca="1" si="3"/>
        <v>121.07509097358751</v>
      </c>
      <c r="Y5" s="104">
        <f t="shared" ca="1" si="3"/>
        <v>95.932441067870968</v>
      </c>
      <c r="AC5" s="212"/>
      <c r="AD5" s="212" t="s">
        <v>719</v>
      </c>
      <c r="AE5" s="218">
        <v>0.27500000000000002</v>
      </c>
      <c r="AF5" s="212"/>
    </row>
    <row r="6" spans="2:32" ht="17.75" thickTop="1" thickBot="1" x14ac:dyDescent="0.6">
      <c r="B6" s="181" t="s">
        <v>138</v>
      </c>
      <c r="C6" s="242">
        <v>0.91400000000000003</v>
      </c>
      <c r="D6" s="242">
        <v>0.90875000000000006</v>
      </c>
      <c r="E6" s="243">
        <f ca="1">_xlfn.NORM.INV(RAND(),$P$4,$Q$4)</f>
        <v>0.82447877748954779</v>
      </c>
      <c r="F6" s="243">
        <f t="shared" ref="F6:H6" ca="1" si="4">_xlfn.NORM.INV(RAND(),$P$4,$Q$4)</f>
        <v>0.87302176450342706</v>
      </c>
      <c r="G6" s="243">
        <f t="shared" ca="1" si="4"/>
        <v>0.83862869908457027</v>
      </c>
      <c r="H6" s="244">
        <f t="shared" ca="1" si="4"/>
        <v>0.87703500060756046</v>
      </c>
      <c r="K6" s="186" t="s">
        <v>713</v>
      </c>
      <c r="L6" s="189" t="s">
        <v>701</v>
      </c>
      <c r="M6" s="223"/>
      <c r="N6" s="223"/>
      <c r="O6" s="223"/>
      <c r="P6" s="189" t="s">
        <v>714</v>
      </c>
      <c r="Q6" s="187" t="s">
        <v>715</v>
      </c>
      <c r="S6" s="273" t="s">
        <v>644</v>
      </c>
      <c r="T6" s="104">
        <f>106.28*(T5/107.1)</f>
        <v>101.65564903454717</v>
      </c>
      <c r="U6" s="104">
        <f>106.28*(U5/107.1)</f>
        <v>87.322384387488341</v>
      </c>
      <c r="V6" s="104">
        <f t="shared" ref="V6:Y6" ca="1" si="5">106.28*(V5/107.1)</f>
        <v>93.527918450832317</v>
      </c>
      <c r="W6" s="104">
        <f t="shared" ca="1" si="5"/>
        <v>110.68310261772301</v>
      </c>
      <c r="X6" s="104">
        <f t="shared" ca="1" si="5"/>
        <v>120.14809214447135</v>
      </c>
      <c r="Y6" s="104">
        <f t="shared" ca="1" si="5"/>
        <v>95.197944320199142</v>
      </c>
      <c r="AC6" s="212"/>
      <c r="AD6" s="212"/>
      <c r="AE6" s="212"/>
      <c r="AF6" s="212"/>
    </row>
    <row r="7" spans="2:32" x14ac:dyDescent="0.55000000000000004">
      <c r="B7" s="177" t="s">
        <v>140</v>
      </c>
      <c r="C7" s="241">
        <f>C6*C5</f>
        <v>29190875</v>
      </c>
      <c r="D7" s="241">
        <f t="shared" ref="D7:H7" si="6">D6*D5</f>
        <v>116092812.5</v>
      </c>
      <c r="E7" s="117">
        <f t="shared" ca="1" si="6"/>
        <v>105327163.82428972</v>
      </c>
      <c r="F7" s="117">
        <f t="shared" ca="1" si="6"/>
        <v>111528530.41531281</v>
      </c>
      <c r="G7" s="117">
        <f t="shared" ca="1" si="6"/>
        <v>107134816.30805385</v>
      </c>
      <c r="H7" s="175">
        <f t="shared" ca="1" si="6"/>
        <v>112041221.32761584</v>
      </c>
      <c r="S7" s="273" t="s">
        <v>646</v>
      </c>
      <c r="T7" s="104">
        <f>6.2898*T6</f>
        <v>639.39370129749477</v>
      </c>
      <c r="U7" s="104">
        <f>6.2898*U6</f>
        <v>549.24033332042416</v>
      </c>
      <c r="V7" s="104">
        <f t="shared" ref="V7:Y7" ca="1" si="7">6.2898*V6</f>
        <v>588.2719014720451</v>
      </c>
      <c r="W7" s="104">
        <f t="shared" ca="1" si="7"/>
        <v>696.17457884495411</v>
      </c>
      <c r="X7" s="104">
        <f t="shared" ca="1" si="7"/>
        <v>755.70746997029585</v>
      </c>
      <c r="Y7" s="104">
        <f t="shared" ca="1" si="7"/>
        <v>598.77603018518857</v>
      </c>
      <c r="AC7" s="212"/>
      <c r="AD7" s="212" t="s">
        <v>720</v>
      </c>
      <c r="AE7" s="213">
        <f>2 * (AE5-AE4)/(AE3-AE4)</f>
        <v>0.75000000000000011</v>
      </c>
      <c r="AF7" s="212"/>
    </row>
    <row r="8" spans="2:32" x14ac:dyDescent="0.55000000000000004">
      <c r="B8" s="177" t="s">
        <v>141</v>
      </c>
      <c r="C8" s="241">
        <f>C7/'پیش بینی فروش'!$L$33</f>
        <v>4640978.2310145162</v>
      </c>
      <c r="D8" s="241">
        <f>D7/'پیش بینی فروش'!$L$33</f>
        <v>18457282.133192305</v>
      </c>
      <c r="E8" s="245">
        <f ca="1">E7/'پیش بینی فروش'!$L$33</f>
        <v>16745680.780142024</v>
      </c>
      <c r="F8" s="245">
        <f ca="1">F7/'پیش بینی فروش'!$L$33</f>
        <v>17731619.274670839</v>
      </c>
      <c r="G8" s="245">
        <f ca="1">G7/'پیش بینی فروش'!$L$33</f>
        <v>17033074.557354547</v>
      </c>
      <c r="H8" s="246">
        <f ca="1">H7/'پیش بینی فروش'!$L$33</f>
        <v>17813130.615568887</v>
      </c>
      <c r="AC8" s="212"/>
      <c r="AD8" s="214" t="s">
        <v>721</v>
      </c>
      <c r="AE8" s="214">
        <f ca="1">RAND()</f>
        <v>0.7607192275277378</v>
      </c>
      <c r="AF8" s="212"/>
    </row>
    <row r="9" spans="2:32" x14ac:dyDescent="0.55000000000000004">
      <c r="B9" s="177" t="s">
        <v>5</v>
      </c>
      <c r="C9" s="242">
        <v>0.33948262430593346</v>
      </c>
      <c r="D9" s="242">
        <v>0.33948262430593346</v>
      </c>
      <c r="E9" s="243">
        <v>0.33948262430593346</v>
      </c>
      <c r="F9" s="243">
        <v>0.33948262430593346</v>
      </c>
      <c r="G9" s="243">
        <v>0.33948262430593346</v>
      </c>
      <c r="H9" s="244">
        <v>0.33948262430593346</v>
      </c>
      <c r="AC9" s="212"/>
      <c r="AD9" s="212" t="s">
        <v>722</v>
      </c>
      <c r="AE9" s="215">
        <f ca="1">AE4+SQRT((AE8*(AE3-AE4)*(AE5-AE4)))</f>
        <v>0.30682129194554836</v>
      </c>
      <c r="AF9" s="212"/>
    </row>
    <row r="10" spans="2:32" x14ac:dyDescent="0.55000000000000004">
      <c r="B10" s="177" t="s">
        <v>142</v>
      </c>
      <c r="C10" s="241">
        <f>C9*C8</f>
        <v>1575531.4692115167</v>
      </c>
      <c r="D10" s="241">
        <f t="shared" ref="D10:H10" si="8">D9*D8</f>
        <v>6265926.5761311408</v>
      </c>
      <c r="E10" s="117">
        <f t="shared" ca="1" si="8"/>
        <v>5684867.6570320455</v>
      </c>
      <c r="F10" s="117">
        <f t="shared" ca="1" si="8"/>
        <v>6019576.6445589289</v>
      </c>
      <c r="G10" s="117">
        <f t="shared" ca="1" si="8"/>
        <v>5782432.8507293472</v>
      </c>
      <c r="H10" s="175">
        <f t="shared" ca="1" si="8"/>
        <v>6047248.3284776937</v>
      </c>
      <c r="AC10" s="212"/>
      <c r="AD10" s="212" t="s">
        <v>723</v>
      </c>
      <c r="AE10" s="215">
        <f ca="1">AE3-SQRT((AE3-AE4)*(AE3-AE5)*(1-AE8))</f>
        <v>0.3226564850048399</v>
      </c>
      <c r="AF10" s="212"/>
    </row>
    <row r="11" spans="2:32" x14ac:dyDescent="0.55000000000000004">
      <c r="B11" s="181" t="s">
        <v>16</v>
      </c>
      <c r="C11" s="241">
        <v>639.39370129749477</v>
      </c>
      <c r="D11" s="241">
        <v>524.05895597894175</v>
      </c>
      <c r="E11" s="117">
        <f ca="1">V7</f>
        <v>588.2719014720451</v>
      </c>
      <c r="F11" s="117">
        <f t="shared" ref="F11:H11" ca="1" si="9">W7</f>
        <v>696.17457884495411</v>
      </c>
      <c r="G11" s="117">
        <f t="shared" ca="1" si="9"/>
        <v>755.70746997029585</v>
      </c>
      <c r="H11" s="175">
        <f t="shared" ca="1" si="9"/>
        <v>598.77603018518857</v>
      </c>
      <c r="AC11" s="212"/>
      <c r="AD11" s="212"/>
      <c r="AE11" s="212"/>
      <c r="AF11" s="212"/>
    </row>
    <row r="12" spans="2:32" x14ac:dyDescent="0.55000000000000004">
      <c r="B12" s="177" t="s">
        <v>9</v>
      </c>
      <c r="C12" s="241">
        <f>C11*C10</f>
        <v>1007384897.6098316</v>
      </c>
      <c r="D12" s="241">
        <f t="shared" ref="D12:H12" si="10">D11*D10</f>
        <v>3283714939.7279906</v>
      </c>
      <c r="E12" s="117">
        <f t="shared" ca="1" si="10"/>
        <v>3344247906.2191715</v>
      </c>
      <c r="F12" s="117">
        <f t="shared" ca="1" si="10"/>
        <v>4190676235.3507342</v>
      </c>
      <c r="G12" s="117">
        <f t="shared" ca="1" si="10"/>
        <v>4369827699.8978004</v>
      </c>
      <c r="H12" s="175">
        <f t="shared" ca="1" si="10"/>
        <v>3620947347.6698909</v>
      </c>
      <c r="AC12" s="212"/>
      <c r="AD12" s="216" t="s">
        <v>724</v>
      </c>
      <c r="AE12" s="216">
        <f ca="1">IF(AE8&lt;=AE7, AE9, AE10)</f>
        <v>0.3226564850048399</v>
      </c>
      <c r="AF12" s="212"/>
    </row>
    <row r="13" spans="2:32" x14ac:dyDescent="0.55000000000000004">
      <c r="B13" s="181" t="s">
        <v>651</v>
      </c>
      <c r="C13" s="242">
        <v>0.39300000000000002</v>
      </c>
      <c r="D13" s="242">
        <v>0.39300000000000002</v>
      </c>
      <c r="E13" s="243">
        <f ca="1">IF(E2&lt;=$AE$7, $AE$9, $AE$10)</f>
        <v>0.30682129194554836</v>
      </c>
      <c r="F13" s="243">
        <f t="shared" ref="F13:H13" ca="1" si="11">IF(F2&lt;=$AE$7, $AE$9, $AE$10)</f>
        <v>0.30682129194554836</v>
      </c>
      <c r="G13" s="243">
        <f t="shared" ca="1" si="11"/>
        <v>0.30682129194554836</v>
      </c>
      <c r="H13" s="244">
        <f t="shared" ca="1" si="11"/>
        <v>0.30682129194554836</v>
      </c>
      <c r="AC13" s="212"/>
      <c r="AD13" s="212"/>
      <c r="AE13" s="212"/>
      <c r="AF13" s="212"/>
    </row>
    <row r="14" spans="2:32" ht="17.2" thickBot="1" x14ac:dyDescent="0.6">
      <c r="B14" s="177" t="s">
        <v>663</v>
      </c>
      <c r="C14" s="241">
        <v>254534.51100000003</v>
      </c>
      <c r="D14" s="241">
        <v>233328.35470852535</v>
      </c>
      <c r="E14" s="117">
        <f ca="1">D14*(1+E13)</f>
        <v>304918.46194772428</v>
      </c>
      <c r="F14" s="117">
        <f t="shared" ref="F14:H14" ca="1" si="12">E14*(1+F13)</f>
        <v>398473.93838057457</v>
      </c>
      <c r="G14" s="117">
        <f t="shared" ca="1" si="12"/>
        <v>520734.2269611333</v>
      </c>
      <c r="H14" s="175">
        <f t="shared" ca="1" si="12"/>
        <v>680506.57523761468</v>
      </c>
    </row>
    <row r="15" spans="2:32" x14ac:dyDescent="0.55000000000000004">
      <c r="B15" s="177" t="s">
        <v>664</v>
      </c>
      <c r="C15" s="241">
        <f>C14*C12/10000000000</f>
        <v>25641.422230190357</v>
      </c>
      <c r="D15" s="241">
        <f t="shared" ref="D15:H15" si="13">D14*D12/10000000000</f>
        <v>76618.380421853653</v>
      </c>
      <c r="E15" s="245">
        <f t="shared" ca="1" si="13"/>
        <v>101972.2927936247</v>
      </c>
      <c r="F15" s="245">
        <f t="shared" ca="1" si="13"/>
        <v>166987.52639780869</v>
      </c>
      <c r="G15" s="245">
        <f t="shared" ca="1" si="13"/>
        <v>227551.88492596286</v>
      </c>
      <c r="H15" s="246">
        <f t="shared" ca="1" si="13"/>
        <v>246407.84786785621</v>
      </c>
      <c r="K15" s="182" t="s">
        <v>686</v>
      </c>
      <c r="L15" s="183">
        <v>10.072790692087528</v>
      </c>
      <c r="S15" s="269" t="s">
        <v>52</v>
      </c>
      <c r="T15" s="188">
        <v>1400</v>
      </c>
      <c r="U15" s="188">
        <v>1401</v>
      </c>
      <c r="V15" s="188">
        <v>1402</v>
      </c>
      <c r="W15" s="188">
        <v>1403</v>
      </c>
      <c r="X15" s="183">
        <v>1404</v>
      </c>
    </row>
    <row r="16" spans="2:32" x14ac:dyDescent="0.55000000000000004">
      <c r="B16" s="177" t="s">
        <v>154</v>
      </c>
      <c r="C16" s="242">
        <v>0.99700319442866003</v>
      </c>
      <c r="D16" s="242">
        <v>0.99700319442866003</v>
      </c>
      <c r="E16" s="243">
        <v>0.99700319442866003</v>
      </c>
      <c r="F16" s="243">
        <v>0.99700319442866003</v>
      </c>
      <c r="G16" s="243">
        <v>0.99700319442866003</v>
      </c>
      <c r="H16" s="244">
        <v>0.99700319442866003</v>
      </c>
      <c r="K16" s="184" t="s">
        <v>687</v>
      </c>
      <c r="L16" s="211">
        <f>C60</f>
        <v>1494.3279671508205</v>
      </c>
      <c r="S16" s="266" t="s">
        <v>65</v>
      </c>
      <c r="T16" s="180">
        <f>C60</f>
        <v>1494.3279671508205</v>
      </c>
      <c r="U16" s="180">
        <f t="shared" ref="U16:X16" ca="1" si="14">D60</f>
        <v>1268.7084787782437</v>
      </c>
      <c r="V16" s="180">
        <f t="shared" ca="1" si="14"/>
        <v>2049.1242081911341</v>
      </c>
      <c r="W16" s="180">
        <f t="shared" ca="1" si="14"/>
        <v>4538.7602521722565</v>
      </c>
      <c r="X16" s="211">
        <f t="shared" ca="1" si="14"/>
        <v>5728.752062075393</v>
      </c>
    </row>
    <row r="17" spans="2:24" ht="17.2" thickBot="1" x14ac:dyDescent="0.6">
      <c r="B17" s="177" t="s">
        <v>665</v>
      </c>
      <c r="C17" s="241">
        <f>C16*C15</f>
        <v>25564.579873193841</v>
      </c>
      <c r="D17" s="241">
        <f t="shared" ref="D17:H17" si="15">D16*D15</f>
        <v>76388.770032538392</v>
      </c>
      <c r="E17" s="117">
        <f t="shared" ca="1" si="15"/>
        <v>101666.70165845845</v>
      </c>
      <c r="F17" s="117">
        <f t="shared" ca="1" si="15"/>
        <v>166487.09724835545</v>
      </c>
      <c r="G17" s="117">
        <f t="shared" ca="1" si="15"/>
        <v>226869.95616944783</v>
      </c>
      <c r="H17" s="175">
        <f t="shared" ca="1" si="15"/>
        <v>245669.41145654392</v>
      </c>
      <c r="K17" s="186" t="s">
        <v>688</v>
      </c>
      <c r="L17" s="225">
        <v>14913.421184531298</v>
      </c>
      <c r="S17" s="266" t="s">
        <v>164</v>
      </c>
      <c r="T17" s="178">
        <v>0.68799999999999994</v>
      </c>
      <c r="U17" s="178">
        <v>0.68799999999999994</v>
      </c>
      <c r="V17" s="178">
        <v>0.68799999999999994</v>
      </c>
      <c r="W17" s="178">
        <v>0.68799999999999994</v>
      </c>
      <c r="X17" s="185">
        <v>0.68799999999999994</v>
      </c>
    </row>
    <row r="18" spans="2:24" x14ac:dyDescent="0.55000000000000004">
      <c r="B18" s="181" t="s">
        <v>159</v>
      </c>
      <c r="C18" s="247">
        <v>0.377</v>
      </c>
      <c r="D18" s="247">
        <v>0.377</v>
      </c>
      <c r="E18" s="243">
        <f ca="1">_xlfn.NORM.INV(RAND(),$P$5,$Q$5)</f>
        <v>0.39917956642965496</v>
      </c>
      <c r="F18" s="243">
        <f t="shared" ref="F18:H18" ca="1" si="16">_xlfn.NORM.INV(RAND(),$P$5,$Q$5)</f>
        <v>0.39407659209931606</v>
      </c>
      <c r="G18" s="243">
        <f t="shared" ca="1" si="16"/>
        <v>0.37257664969906384</v>
      </c>
      <c r="H18" s="244">
        <f t="shared" ca="1" si="16"/>
        <v>0.37120128792472212</v>
      </c>
      <c r="S18" s="266" t="s">
        <v>165</v>
      </c>
      <c r="T18" s="160">
        <f>T17*T16</f>
        <v>1028.0976413997644</v>
      </c>
      <c r="U18" s="160">
        <f t="shared" ref="U18:X18" ca="1" si="17">U17*U16</f>
        <v>872.87143339943157</v>
      </c>
      <c r="V18" s="160">
        <f t="shared" ca="1" si="17"/>
        <v>1409.7974552355001</v>
      </c>
      <c r="W18" s="160">
        <f t="shared" ca="1" si="17"/>
        <v>3122.6670534945124</v>
      </c>
      <c r="X18" s="224">
        <f t="shared" ca="1" si="17"/>
        <v>3941.3814187078701</v>
      </c>
    </row>
    <row r="19" spans="2:24" ht="17.2" thickBot="1" x14ac:dyDescent="0.6">
      <c r="B19" s="179" t="s">
        <v>666</v>
      </c>
      <c r="C19" s="248">
        <f>C17/C18</f>
        <v>67810.556692821861</v>
      </c>
      <c r="D19" s="248">
        <f>D17/D18</f>
        <v>202622.73218179945</v>
      </c>
      <c r="E19" s="249">
        <f t="shared" ref="E19:H19" ca="1" si="18">E17/E18</f>
        <v>254689.14295334945</v>
      </c>
      <c r="F19" s="249">
        <f t="shared" ca="1" si="18"/>
        <v>422473.95705857355</v>
      </c>
      <c r="G19" s="249">
        <f t="shared" ca="1" si="18"/>
        <v>608921.56379819929</v>
      </c>
      <c r="H19" s="250">
        <f t="shared" ca="1" si="18"/>
        <v>661822.62682872079</v>
      </c>
      <c r="S19" s="266" t="s">
        <v>749</v>
      </c>
      <c r="T19" s="160">
        <f>IF(T18&gt;0,T18,"=0.0001")</f>
        <v>1028.0976413997644</v>
      </c>
      <c r="U19" s="160">
        <f t="shared" ref="U19:X19" ca="1" si="19">IF(U18&gt;0,U18,"=0.0001")</f>
        <v>872.87143339943157</v>
      </c>
      <c r="V19" s="160">
        <f t="shared" ca="1" si="19"/>
        <v>1409.7974552355001</v>
      </c>
      <c r="W19" s="160">
        <f t="shared" ca="1" si="19"/>
        <v>3122.6670534945124</v>
      </c>
      <c r="X19" s="160">
        <f t="shared" ca="1" si="19"/>
        <v>3941.3814187078701</v>
      </c>
    </row>
    <row r="20" spans="2:24" ht="17.2" thickBot="1" x14ac:dyDescent="0.6">
      <c r="K20" s="182" t="s">
        <v>691</v>
      </c>
      <c r="L20" s="183">
        <v>0.61097956773891671</v>
      </c>
      <c r="S20" s="274" t="s">
        <v>693</v>
      </c>
      <c r="T20" s="189"/>
      <c r="U20" s="226">
        <f ca="1">IF((U18/T18)&lt;=0,0.0000000000000001,U18/T18)</f>
        <v>0.84901608393051953</v>
      </c>
      <c r="V20" s="226">
        <f ca="1">IF((V18/U18)&lt;=0,0.0000000000000001,V18/U18)</f>
        <v>1.6151261242964379</v>
      </c>
      <c r="W20" s="226">
        <f ca="1">IF((W18/V18)&lt;=0,0.0000000000000001,W18/V18)</f>
        <v>2.2149756632756055</v>
      </c>
      <c r="X20" s="226">
        <f ca="1">IF((X18/W18)&lt;=0,0.0000000000000001,X18/W18)</f>
        <v>1.2621843287125829</v>
      </c>
    </row>
    <row r="21" spans="2:24" ht="17.2" thickBot="1" x14ac:dyDescent="0.6">
      <c r="K21" s="184" t="s">
        <v>692</v>
      </c>
      <c r="L21" s="224">
        <f>$D$19/$C$61*10000000000</f>
        <v>15082.613763840556</v>
      </c>
    </row>
    <row r="22" spans="2:24" ht="17.2" thickBot="1" x14ac:dyDescent="0.6">
      <c r="B22" s="176" t="s">
        <v>614</v>
      </c>
      <c r="C22" s="240" t="s">
        <v>633</v>
      </c>
      <c r="D22" s="240">
        <v>1400</v>
      </c>
      <c r="E22" s="114">
        <v>1401</v>
      </c>
      <c r="F22" s="114">
        <v>1402</v>
      </c>
      <c r="G22" s="114">
        <v>1403</v>
      </c>
      <c r="H22" s="115">
        <v>1404</v>
      </c>
      <c r="K22" s="186" t="s">
        <v>688</v>
      </c>
      <c r="L22" s="225">
        <v>9204.4968571003465</v>
      </c>
      <c r="N22" s="229" t="s">
        <v>696</v>
      </c>
      <c r="O22" s="232">
        <f ca="1">T24</f>
        <v>-979.04138169559883</v>
      </c>
      <c r="S22" s="275" t="s">
        <v>694</v>
      </c>
      <c r="T22" s="276">
        <f ca="1">GEOMEAN(V20:X20)-1</f>
        <v>0.65284728257776536</v>
      </c>
    </row>
    <row r="23" spans="2:24" ht="17.2" thickBot="1" x14ac:dyDescent="0.6">
      <c r="B23" s="177" t="s">
        <v>128</v>
      </c>
      <c r="C23" s="251">
        <v>350</v>
      </c>
      <c r="D23" s="251">
        <v>350</v>
      </c>
      <c r="E23" s="252">
        <v>350</v>
      </c>
      <c r="F23" s="252">
        <v>350</v>
      </c>
      <c r="G23" s="252">
        <v>350</v>
      </c>
      <c r="H23" s="121">
        <v>350</v>
      </c>
      <c r="N23" s="230" t="s">
        <v>683</v>
      </c>
      <c r="O23" s="224">
        <f>L17</f>
        <v>14913.421184531298</v>
      </c>
    </row>
    <row r="24" spans="2:24" ht="17.2" thickBot="1" x14ac:dyDescent="0.6">
      <c r="B24" s="177" t="s">
        <v>631</v>
      </c>
      <c r="C24" s="241">
        <v>31937.5</v>
      </c>
      <c r="D24" s="241">
        <v>127750</v>
      </c>
      <c r="E24" s="117">
        <v>127750</v>
      </c>
      <c r="F24" s="117">
        <v>127750</v>
      </c>
      <c r="G24" s="117">
        <v>127750</v>
      </c>
      <c r="H24" s="175">
        <v>127750</v>
      </c>
      <c r="N24" s="231" t="s">
        <v>689</v>
      </c>
      <c r="O24" s="233">
        <f>L22</f>
        <v>9204.4968571003465</v>
      </c>
      <c r="S24" s="275" t="s">
        <v>688</v>
      </c>
      <c r="T24" s="227">
        <f ca="1">T18/(1+T26)+U18/(1+T26)^2+V18/(1+T26)^3+W18/(1+T26)^4+X18/(1+T26)^5+X18*(1+T22)/(T26-T22)/(1+T26)^5</f>
        <v>-979.04138169559883</v>
      </c>
    </row>
    <row r="25" spans="2:24" ht="17.2" thickBot="1" x14ac:dyDescent="0.6">
      <c r="B25" s="177" t="s">
        <v>138</v>
      </c>
      <c r="C25" s="242">
        <v>0.91400000000000003</v>
      </c>
      <c r="D25" s="242">
        <v>0.91100000000000003</v>
      </c>
      <c r="E25" s="243">
        <f ca="1">E6</f>
        <v>0.82447877748954779</v>
      </c>
      <c r="F25" s="243">
        <f t="shared" ref="F25:H25" ca="1" si="20">F6</f>
        <v>0.87302176450342706</v>
      </c>
      <c r="G25" s="243">
        <f t="shared" ca="1" si="20"/>
        <v>0.83862869908457027</v>
      </c>
      <c r="H25" s="244">
        <f t="shared" ca="1" si="20"/>
        <v>0.87703500060756046</v>
      </c>
    </row>
    <row r="26" spans="2:24" ht="17.2" thickBot="1" x14ac:dyDescent="0.6">
      <c r="B26" s="177" t="s">
        <v>632</v>
      </c>
      <c r="C26" s="241">
        <v>29190.875</v>
      </c>
      <c r="D26" s="241">
        <v>116380</v>
      </c>
      <c r="E26" s="117">
        <f ca="1">E25*E24</f>
        <v>105327.16382428973</v>
      </c>
      <c r="F26" s="117">
        <f ca="1">F25*F24</f>
        <v>111528.53041531281</v>
      </c>
      <c r="G26" s="117">
        <f t="shared" ref="G26:H26" ca="1" si="21">G25*G24</f>
        <v>107134.81630805385</v>
      </c>
      <c r="H26" s="175">
        <f t="shared" ca="1" si="21"/>
        <v>112041.22132761584</v>
      </c>
      <c r="N26" s="190" t="s">
        <v>726</v>
      </c>
      <c r="O26" s="234">
        <f ca="1">AVERAGE(O22:O24)</f>
        <v>7712.9588866453487</v>
      </c>
      <c r="P26" s="103" t="s">
        <v>727</v>
      </c>
      <c r="S26" s="275" t="s">
        <v>695</v>
      </c>
      <c r="T26" s="228">
        <v>0.32</v>
      </c>
    </row>
    <row r="27" spans="2:24" x14ac:dyDescent="0.55000000000000004">
      <c r="B27" s="177" t="s">
        <v>47</v>
      </c>
      <c r="C27" s="242">
        <v>0.94374386810483513</v>
      </c>
      <c r="D27" s="242">
        <v>0.94374386810483513</v>
      </c>
      <c r="E27" s="243">
        <v>0.94374386810483513</v>
      </c>
      <c r="F27" s="243">
        <v>0.94374386810483513</v>
      </c>
      <c r="G27" s="243">
        <v>0.94374386810483513</v>
      </c>
      <c r="H27" s="244">
        <v>0.94374386810483513</v>
      </c>
    </row>
    <row r="28" spans="2:24" x14ac:dyDescent="0.55000000000000004">
      <c r="B28" s="177" t="s">
        <v>649</v>
      </c>
      <c r="C28" s="241">
        <f>C27*C26</f>
        <v>27548.70928586473</v>
      </c>
      <c r="D28" s="241">
        <f t="shared" ref="D28:H28" si="22">D27*D26</f>
        <v>109832.91137004072</v>
      </c>
      <c r="E28" s="117">
        <f t="shared" ca="1" si="22"/>
        <v>99401.865004046849</v>
      </c>
      <c r="F28" s="117">
        <f t="shared" ca="1" si="22"/>
        <v>105254.36669819507</v>
      </c>
      <c r="G28" s="117">
        <f t="shared" ca="1" si="22"/>
        <v>101107.82595126372</v>
      </c>
      <c r="H28" s="175">
        <f t="shared" ca="1" si="22"/>
        <v>105738.21560291413</v>
      </c>
      <c r="O28" s="103" t="s">
        <v>696</v>
      </c>
      <c r="P28" s="103" t="s">
        <v>683</v>
      </c>
      <c r="Q28" s="103" t="s">
        <v>689</v>
      </c>
    </row>
    <row r="29" spans="2:24" x14ac:dyDescent="0.55000000000000004">
      <c r="B29" s="177" t="s">
        <v>48</v>
      </c>
      <c r="C29" s="242">
        <v>5.6256131895164874E-2</v>
      </c>
      <c r="D29" s="242">
        <v>5.6256131895164874E-2</v>
      </c>
      <c r="E29" s="243">
        <v>5.6256131895164874E-2</v>
      </c>
      <c r="F29" s="243">
        <v>5.6256131895164874E-2</v>
      </c>
      <c r="G29" s="243">
        <v>5.6256131895164874E-2</v>
      </c>
      <c r="H29" s="244">
        <v>5.6256131895164874E-2</v>
      </c>
      <c r="O29" s="235">
        <f ca="1">O22</f>
        <v>-979.04138169559883</v>
      </c>
      <c r="P29" s="235">
        <f>O23</f>
        <v>14913.421184531298</v>
      </c>
      <c r="Q29" s="235">
        <f>O24</f>
        <v>9204.4968571003465</v>
      </c>
    </row>
    <row r="30" spans="2:24" ht="17.2" thickBot="1" x14ac:dyDescent="0.6">
      <c r="B30" s="177" t="s">
        <v>650</v>
      </c>
      <c r="C30" s="241">
        <v>1642.1657141352709</v>
      </c>
      <c r="D30" s="241">
        <v>6547.1026939922622</v>
      </c>
      <c r="E30" s="117">
        <f ca="1">E29*E26</f>
        <v>5925.2988202428814</v>
      </c>
      <c r="F30" s="117">
        <f t="shared" ref="F30:H30" ca="1" si="23">F29*F26</f>
        <v>6274.1637171177445</v>
      </c>
      <c r="G30" s="117">
        <f t="shared" ca="1" si="23"/>
        <v>6026.9903567901383</v>
      </c>
      <c r="H30" s="175">
        <f t="shared" ca="1" si="23"/>
        <v>6303.0057247017166</v>
      </c>
      <c r="N30" s="103">
        <v>1</v>
      </c>
      <c r="O30" s="103">
        <f t="dataTable" ref="O30:Q1029" dt2D="0" dtr="0" r1="S31" ca="1"/>
        <v>6052.9098420460077</v>
      </c>
      <c r="P30" s="103">
        <v>14913.421184531298</v>
      </c>
      <c r="Q30" s="103">
        <v>9204.4968571003465</v>
      </c>
    </row>
    <row r="31" spans="2:24" ht="18.3" x14ac:dyDescent="0.65">
      <c r="B31" s="177" t="s">
        <v>705</v>
      </c>
      <c r="C31" s="251">
        <v>87.115000000000009</v>
      </c>
      <c r="D31" s="251">
        <v>73.716250000000002</v>
      </c>
      <c r="E31" s="253">
        <f ca="1">V4</f>
        <v>79.517189393684589</v>
      </c>
      <c r="F31" s="253">
        <f t="shared" ref="F31:H31" ca="1" si="24">W4</f>
        <v>95.553872558067056</v>
      </c>
      <c r="G31" s="253">
        <f t="shared" ca="1" si="24"/>
        <v>104.40175414989564</v>
      </c>
      <c r="H31" s="254">
        <f t="shared" ca="1" si="24"/>
        <v>81.078331231791239</v>
      </c>
      <c r="J31" s="182"/>
      <c r="K31" s="188"/>
      <c r="L31" s="279" t="s">
        <v>743</v>
      </c>
      <c r="N31" s="103">
        <v>2</v>
      </c>
      <c r="O31" s="103">
        <v>5592.9704166878792</v>
      </c>
      <c r="P31" s="103">
        <v>14913.421184531298</v>
      </c>
      <c r="Q31" s="103">
        <v>9204.4968571003465</v>
      </c>
    </row>
    <row r="32" spans="2:24" x14ac:dyDescent="0.55000000000000004">
      <c r="B32" s="177" t="s">
        <v>607</v>
      </c>
      <c r="C32" s="251"/>
      <c r="D32" s="251"/>
      <c r="E32" s="243">
        <f ca="1">E31/D31-1</f>
        <v>7.8692817305337615E-2</v>
      </c>
      <c r="F32" s="243">
        <f t="shared" ref="F32:H32" ca="1" si="25">F31/E31-1</f>
        <v>0.20167567901558825</v>
      </c>
      <c r="G32" s="243">
        <f t="shared" ca="1" si="25"/>
        <v>9.2595740548891081E-2</v>
      </c>
      <c r="H32" s="244">
        <f t="shared" ca="1" si="25"/>
        <v>-0.22340068045808514</v>
      </c>
      <c r="J32" s="230" t="s">
        <v>740</v>
      </c>
      <c r="K32" s="160">
        <f>AVERAGE(O30:O1029)</f>
        <v>85989.412844103863</v>
      </c>
      <c r="L32" s="265">
        <v>0.5</v>
      </c>
      <c r="N32" s="103">
        <v>3</v>
      </c>
      <c r="O32" s="103">
        <v>14209.824348382714</v>
      </c>
      <c r="P32" s="103">
        <v>14913.421184531298</v>
      </c>
      <c r="Q32" s="103">
        <v>9204.4968571003465</v>
      </c>
    </row>
    <row r="33" spans="2:19" x14ac:dyDescent="0.55000000000000004">
      <c r="B33" s="177" t="s">
        <v>612</v>
      </c>
      <c r="C33" s="255">
        <v>83.026570397111911</v>
      </c>
      <c r="D33" s="255">
        <v>72.22225119579025</v>
      </c>
      <c r="E33" s="125">
        <f ca="1">D33*(E32+1)</f>
        <v>77.905623614520778</v>
      </c>
      <c r="F33" s="125">
        <f t="shared" ref="F33:H33" ca="1" si="26">E33*(F32+1)</f>
        <v>93.617293156112098</v>
      </c>
      <c r="G33" s="125">
        <f t="shared" ca="1" si="26"/>
        <v>102.28585574408493</v>
      </c>
      <c r="H33" s="126">
        <f t="shared" ca="1" si="26"/>
        <v>79.435125969618824</v>
      </c>
      <c r="J33" s="230" t="s">
        <v>683</v>
      </c>
      <c r="K33" s="160">
        <f>O23</f>
        <v>14913.421184531298</v>
      </c>
      <c r="L33" s="265">
        <v>0.25</v>
      </c>
      <c r="N33" s="103">
        <v>4</v>
      </c>
      <c r="O33" s="103">
        <v>-2507.0041663647426</v>
      </c>
      <c r="P33" s="103">
        <v>14913.421184531298</v>
      </c>
      <c r="Q33" s="103">
        <v>9204.4968571003465</v>
      </c>
    </row>
    <row r="34" spans="2:19" ht="17.2" thickBot="1" x14ac:dyDescent="0.6">
      <c r="B34" s="177" t="s">
        <v>18</v>
      </c>
      <c r="C34" s="251">
        <v>0.05</v>
      </c>
      <c r="D34" s="251">
        <v>0.05</v>
      </c>
      <c r="E34" s="252">
        <v>0.05</v>
      </c>
      <c r="F34" s="252">
        <v>0.05</v>
      </c>
      <c r="G34" s="252">
        <v>0.05</v>
      </c>
      <c r="H34" s="121">
        <v>0.05</v>
      </c>
      <c r="J34" s="231" t="s">
        <v>689</v>
      </c>
      <c r="K34" s="277">
        <f>O24</f>
        <v>9204.4968571003465</v>
      </c>
      <c r="L34" s="278">
        <v>0.25</v>
      </c>
      <c r="N34" s="103">
        <v>5</v>
      </c>
      <c r="O34" s="103">
        <v>5380.0610872163561</v>
      </c>
      <c r="P34" s="103">
        <v>14913.421184531298</v>
      </c>
      <c r="Q34" s="103">
        <v>9204.4968571003465</v>
      </c>
    </row>
    <row r="35" spans="2:19" x14ac:dyDescent="0.55000000000000004">
      <c r="B35" s="177" t="s">
        <v>613</v>
      </c>
      <c r="C35" s="255">
        <v>78.875241877256315</v>
      </c>
      <c r="D35" s="255">
        <v>68.611138636000732</v>
      </c>
      <c r="E35" s="125">
        <f ca="1">E33*(1-E34)</f>
        <v>74.010342433794733</v>
      </c>
      <c r="F35" s="125">
        <f t="shared" ref="F35:H35" ca="1" si="27">F33*(1-F34)</f>
        <v>88.936428498306483</v>
      </c>
      <c r="G35" s="125">
        <f t="shared" ca="1" si="27"/>
        <v>97.171562956880678</v>
      </c>
      <c r="H35" s="126">
        <f t="shared" ca="1" si="27"/>
        <v>75.463369671137883</v>
      </c>
      <c r="N35" s="103">
        <v>6</v>
      </c>
      <c r="O35" s="103">
        <v>-36395.864541235984</v>
      </c>
      <c r="P35" s="103">
        <v>14913.421184531298</v>
      </c>
      <c r="Q35" s="103">
        <v>9204.4968571003465</v>
      </c>
      <c r="S35" s="103"/>
    </row>
    <row r="36" spans="2:19" x14ac:dyDescent="0.55000000000000004">
      <c r="B36" s="177" t="s">
        <v>655</v>
      </c>
      <c r="C36" s="241">
        <v>254534.51100000003</v>
      </c>
      <c r="D36" s="241">
        <v>226259.63594470045</v>
      </c>
      <c r="E36" s="117">
        <f ca="1">E14</f>
        <v>304918.46194772428</v>
      </c>
      <c r="F36" s="117">
        <f t="shared" ref="F36:H36" ca="1" si="28">F14</f>
        <v>398473.93838057457</v>
      </c>
      <c r="G36" s="117">
        <f t="shared" ca="1" si="28"/>
        <v>520734.2269611333</v>
      </c>
      <c r="H36" s="175">
        <f t="shared" ca="1" si="28"/>
        <v>680506.57523761468</v>
      </c>
      <c r="L36" s="103" t="s">
        <v>727</v>
      </c>
      <c r="N36" s="103">
        <v>7</v>
      </c>
      <c r="O36" s="103">
        <v>8681.5544254952729</v>
      </c>
      <c r="P36" s="103">
        <v>14913.421184531298</v>
      </c>
      <c r="Q36" s="103">
        <v>9204.4968571003465</v>
      </c>
    </row>
    <row r="37" spans="2:19" x14ac:dyDescent="0.55000000000000004">
      <c r="B37" s="177" t="s">
        <v>623</v>
      </c>
      <c r="C37" s="241">
        <v>20076471.12123416</v>
      </c>
      <c r="D37" s="241">
        <v>15523931.249532897</v>
      </c>
      <c r="E37" s="117">
        <f ca="1">E35*E36</f>
        <v>22567119.783137083</v>
      </c>
      <c r="F37" s="117">
        <f t="shared" ref="F37:H37" ca="1" si="29">F35*F36</f>
        <v>35438848.929222554</v>
      </c>
      <c r="G37" s="117">
        <f t="shared" ca="1" si="29"/>
        <v>50600558.718956359</v>
      </c>
      <c r="H37" s="175">
        <f t="shared" ca="1" si="29"/>
        <v>51353319.250796124</v>
      </c>
      <c r="N37" s="103">
        <v>8</v>
      </c>
      <c r="O37" s="103">
        <v>15984.920572920615</v>
      </c>
      <c r="P37" s="103">
        <v>14913.421184531298</v>
      </c>
      <c r="Q37" s="103">
        <v>9204.4968571003465</v>
      </c>
    </row>
    <row r="38" spans="2:19" ht="17.2" thickBot="1" x14ac:dyDescent="0.6">
      <c r="B38" s="177" t="s">
        <v>667</v>
      </c>
      <c r="C38" s="241">
        <v>55308.086640493864</v>
      </c>
      <c r="D38" s="241">
        <v>170504.22276982799</v>
      </c>
      <c r="E38" s="117">
        <f ca="1">E37*E28*1000/10000000000</f>
        <v>224321.37942135474</v>
      </c>
      <c r="F38" s="117">
        <f t="shared" ref="F38:H38" ca="1" si="30">F37*F28*1000/10000000000</f>
        <v>373009.36005583277</v>
      </c>
      <c r="G38" s="117">
        <f t="shared" ca="1" si="30"/>
        <v>511611.24839929392</v>
      </c>
      <c r="H38" s="117">
        <f t="shared" ca="1" si="30"/>
        <v>543000.83428659616</v>
      </c>
      <c r="N38" s="103">
        <v>9</v>
      </c>
      <c r="O38" s="103">
        <v>4179.6507397579362</v>
      </c>
      <c r="P38" s="103">
        <v>14913.421184531298</v>
      </c>
      <c r="Q38" s="103">
        <v>9204.4968571003465</v>
      </c>
    </row>
    <row r="39" spans="2:19" ht="17.2" thickBot="1" x14ac:dyDescent="0.6">
      <c r="B39" s="177" t="s">
        <v>615</v>
      </c>
      <c r="C39" s="242">
        <v>0.98270079588658499</v>
      </c>
      <c r="D39" s="242">
        <v>0.98270079588658499</v>
      </c>
      <c r="E39" s="243">
        <v>0.98270079588658499</v>
      </c>
      <c r="F39" s="243">
        <v>0.98270079588658499</v>
      </c>
      <c r="G39" s="243">
        <v>0.98270079588658499</v>
      </c>
      <c r="H39" s="244">
        <v>0.98270079588658499</v>
      </c>
      <c r="J39" s="275" t="s">
        <v>726</v>
      </c>
      <c r="K39" s="280">
        <f>K32*L32+K33*L33+K34*L34</f>
        <v>49024.185932459841</v>
      </c>
      <c r="N39" s="103">
        <v>10</v>
      </c>
      <c r="O39" s="103">
        <v>5537.3310295705178</v>
      </c>
      <c r="P39" s="103">
        <v>14913.421184531298</v>
      </c>
      <c r="Q39" s="103">
        <v>9204.4968571003465</v>
      </c>
    </row>
    <row r="40" spans="2:19" x14ac:dyDescent="0.55000000000000004">
      <c r="B40" s="177" t="s">
        <v>668</v>
      </c>
      <c r="C40" s="241">
        <v>3239.8556934742096</v>
      </c>
      <c r="D40" s="241">
        <v>9987.8536839091557</v>
      </c>
      <c r="E40" s="117">
        <f ca="1">E39*E37*E30*1000/10000000000</f>
        <v>13140.373179247899</v>
      </c>
      <c r="F40" s="117">
        <f t="shared" ref="F40:H40" ca="1" si="31">F39*F37*F30*1000/10000000000</f>
        <v>21850.267696862607</v>
      </c>
      <c r="G40" s="117">
        <f t="shared" ca="1" si="31"/>
        <v>29969.335709370323</v>
      </c>
      <c r="H40" s="175">
        <f t="shared" ca="1" si="31"/>
        <v>31808.085424467426</v>
      </c>
      <c r="N40" s="103">
        <v>11</v>
      </c>
      <c r="O40" s="103">
        <v>-10877.818762237177</v>
      </c>
      <c r="P40" s="103">
        <v>14913.421184531298</v>
      </c>
      <c r="Q40" s="103">
        <v>9204.4968571003465</v>
      </c>
    </row>
    <row r="41" spans="2:19" x14ac:dyDescent="0.55000000000000004">
      <c r="B41" s="177" t="s">
        <v>669</v>
      </c>
      <c r="C41" s="241">
        <v>58547.942333968072</v>
      </c>
      <c r="D41" s="241">
        <v>180492.07645373751</v>
      </c>
      <c r="E41" s="117">
        <f ca="1">E40+E38</f>
        <v>237461.75260060263</v>
      </c>
      <c r="F41" s="117">
        <f t="shared" ref="F41:H41" ca="1" si="32">F40+F38</f>
        <v>394859.62775269541</v>
      </c>
      <c r="G41" s="117">
        <f t="shared" ca="1" si="32"/>
        <v>541580.58410866419</v>
      </c>
      <c r="H41" s="175">
        <f t="shared" ca="1" si="32"/>
        <v>574808.91971106362</v>
      </c>
      <c r="N41" s="103">
        <v>12</v>
      </c>
      <c r="O41" s="103">
        <v>5023.7265034620186</v>
      </c>
      <c r="P41" s="103">
        <v>14913.421184531298</v>
      </c>
      <c r="Q41" s="103">
        <v>9204.4968571003465</v>
      </c>
    </row>
    <row r="42" spans="2:19" x14ac:dyDescent="0.55000000000000004">
      <c r="B42" s="177" t="s">
        <v>25</v>
      </c>
      <c r="C42" s="242">
        <v>0.98145538062041804</v>
      </c>
      <c r="D42" s="242">
        <v>0.98145538062041804</v>
      </c>
      <c r="E42" s="243">
        <v>0.98145538062041804</v>
      </c>
      <c r="F42" s="243">
        <v>0.98145538062041804</v>
      </c>
      <c r="G42" s="243">
        <v>0.98145538062041804</v>
      </c>
      <c r="H42" s="244">
        <v>0.98145538062041804</v>
      </c>
      <c r="N42" s="103">
        <v>13</v>
      </c>
      <c r="O42" s="103">
        <v>4717.0435156732219</v>
      </c>
      <c r="P42" s="103">
        <v>14913.421184531298</v>
      </c>
      <c r="Q42" s="103">
        <v>9204.4968571003465</v>
      </c>
    </row>
    <row r="43" spans="2:19" x14ac:dyDescent="0.55000000000000004">
      <c r="B43" s="179" t="s">
        <v>670</v>
      </c>
      <c r="C43" s="256">
        <v>57462.193027926922</v>
      </c>
      <c r="D43" s="256">
        <v>177144.91959487254</v>
      </c>
      <c r="E43" s="257">
        <f ca="1">E42*E41</f>
        <v>233058.11478141599</v>
      </c>
      <c r="F43" s="257">
        <f t="shared" ref="F43:H43" ca="1" si="33">F42*F41</f>
        <v>387537.10624765826</v>
      </c>
      <c r="G43" s="257">
        <f t="shared" ca="1" si="33"/>
        <v>531537.17831299733</v>
      </c>
      <c r="H43" s="258">
        <f t="shared" ca="1" si="33"/>
        <v>564149.30707903323</v>
      </c>
      <c r="N43" s="103">
        <v>14</v>
      </c>
      <c r="O43" s="103">
        <v>620.39530060387096</v>
      </c>
      <c r="P43" s="103">
        <v>14913.421184531298</v>
      </c>
      <c r="Q43" s="103">
        <v>9204.4968571003465</v>
      </c>
    </row>
    <row r="44" spans="2:19" x14ac:dyDescent="0.55000000000000004">
      <c r="N44" s="103">
        <v>15</v>
      </c>
      <c r="O44" s="103">
        <v>9447.6537110294776</v>
      </c>
      <c r="P44" s="103">
        <v>14913.421184531298</v>
      </c>
      <c r="Q44" s="103">
        <v>9204.4968571003465</v>
      </c>
    </row>
    <row r="45" spans="2:19" x14ac:dyDescent="0.55000000000000004">
      <c r="B45" s="176" t="s">
        <v>52</v>
      </c>
      <c r="C45" s="114">
        <v>1400</v>
      </c>
      <c r="D45" s="114">
        <v>1401</v>
      </c>
      <c r="E45" s="114">
        <v>1402</v>
      </c>
      <c r="F45" s="114">
        <v>1403</v>
      </c>
      <c r="G45" s="115">
        <v>1404</v>
      </c>
      <c r="N45" s="103">
        <v>16</v>
      </c>
      <c r="O45" s="103">
        <v>-26482.27115261904</v>
      </c>
      <c r="P45" s="103">
        <v>14913.421184531298</v>
      </c>
      <c r="Q45" s="103">
        <v>9204.4968571003465</v>
      </c>
    </row>
    <row r="46" spans="2:19" x14ac:dyDescent="0.55000000000000004">
      <c r="B46" s="177" t="s">
        <v>728</v>
      </c>
      <c r="C46" s="259">
        <f>D19</f>
        <v>202622.73218179945</v>
      </c>
      <c r="D46" s="259">
        <f t="shared" ref="D46:G46" ca="1" si="34">E19</f>
        <v>254689.14295334945</v>
      </c>
      <c r="E46" s="259">
        <f t="shared" ca="1" si="34"/>
        <v>422473.95705857355</v>
      </c>
      <c r="F46" s="259">
        <f t="shared" ca="1" si="34"/>
        <v>608921.56379819929</v>
      </c>
      <c r="G46" s="260">
        <f t="shared" ca="1" si="34"/>
        <v>661822.62682872079</v>
      </c>
      <c r="N46" s="103">
        <v>17</v>
      </c>
      <c r="O46" s="103">
        <v>10945.043634799044</v>
      </c>
      <c r="P46" s="103">
        <v>14913.421184531298</v>
      </c>
      <c r="Q46" s="103">
        <v>9204.4968571003465</v>
      </c>
    </row>
    <row r="47" spans="2:19" x14ac:dyDescent="0.55000000000000004">
      <c r="B47" s="177" t="s">
        <v>729</v>
      </c>
      <c r="C47" s="259">
        <f>-D43</f>
        <v>-177144.91959487254</v>
      </c>
      <c r="D47" s="259">
        <f t="shared" ref="D47:G47" ca="1" si="35">-E43</f>
        <v>-233058.11478141599</v>
      </c>
      <c r="E47" s="259">
        <f t="shared" ca="1" si="35"/>
        <v>-387537.10624765826</v>
      </c>
      <c r="F47" s="259">
        <f t="shared" ca="1" si="35"/>
        <v>-531537.17831299733</v>
      </c>
      <c r="G47" s="260">
        <f t="shared" ca="1" si="35"/>
        <v>-564149.30707903323</v>
      </c>
      <c r="N47" s="103">
        <v>18</v>
      </c>
      <c r="O47" s="103">
        <v>-1365.4349492099141</v>
      </c>
      <c r="P47" s="103">
        <v>14913.421184531298</v>
      </c>
      <c r="Q47" s="103">
        <v>9204.4968571003465</v>
      </c>
    </row>
    <row r="48" spans="2:19" x14ac:dyDescent="0.55000000000000004">
      <c r="B48" s="177" t="s">
        <v>730</v>
      </c>
      <c r="C48" s="117">
        <f>C47+C46</f>
        <v>25477.812586926913</v>
      </c>
      <c r="D48" s="117">
        <f t="shared" ref="D48:G48" ca="1" si="36">D47+D46</f>
        <v>21631.02817193346</v>
      </c>
      <c r="E48" s="117">
        <f t="shared" ca="1" si="36"/>
        <v>34936.85081091529</v>
      </c>
      <c r="F48" s="117">
        <f t="shared" ca="1" si="36"/>
        <v>77384.385485201958</v>
      </c>
      <c r="G48" s="175">
        <f t="shared" ca="1" si="36"/>
        <v>97673.319749687565</v>
      </c>
      <c r="N48" s="103">
        <v>19</v>
      </c>
      <c r="O48" s="103">
        <v>-9250.5763561701242</v>
      </c>
      <c r="P48" s="103">
        <v>14913.421184531298</v>
      </c>
      <c r="Q48" s="103">
        <v>9204.4968571003465</v>
      </c>
    </row>
    <row r="49" spans="2:17" x14ac:dyDescent="0.55000000000000004">
      <c r="B49" s="177" t="s">
        <v>731</v>
      </c>
      <c r="C49" s="117">
        <f>-0.0848*C48</f>
        <v>-2160.5185073714024</v>
      </c>
      <c r="D49" s="117">
        <f t="shared" ref="D49:G49" ca="1" si="37">-0.0848*D48</f>
        <v>-1834.3111889799575</v>
      </c>
      <c r="E49" s="117">
        <f t="shared" ca="1" si="37"/>
        <v>-2962.6449487656164</v>
      </c>
      <c r="F49" s="117">
        <f t="shared" ca="1" si="37"/>
        <v>-6562.1958891451259</v>
      </c>
      <c r="G49" s="117">
        <f t="shared" ca="1" si="37"/>
        <v>-8282.6975147735047</v>
      </c>
      <c r="N49" s="103">
        <v>20</v>
      </c>
      <c r="O49" s="103">
        <v>5609.9627651914925</v>
      </c>
      <c r="P49" s="103">
        <v>14913.421184531298</v>
      </c>
      <c r="Q49" s="103">
        <v>9204.4968571003465</v>
      </c>
    </row>
    <row r="50" spans="2:17" x14ac:dyDescent="0.55000000000000004">
      <c r="B50" s="177" t="s">
        <v>732</v>
      </c>
      <c r="C50" s="261">
        <v>8.4197484965240849E-2</v>
      </c>
      <c r="D50" s="261">
        <f>C50*1.3998</f>
        <v>0.11785963945434413</v>
      </c>
      <c r="E50" s="261">
        <f t="shared" ref="E50:G50" si="38">D50*1.3998</f>
        <v>0.16497992330819092</v>
      </c>
      <c r="F50" s="261">
        <f t="shared" si="38"/>
        <v>0.23093889664680564</v>
      </c>
      <c r="G50" s="262">
        <f t="shared" si="38"/>
        <v>0.32326826752619853</v>
      </c>
      <c r="N50" s="103">
        <v>21</v>
      </c>
      <c r="O50" s="103">
        <v>9604.854199570218</v>
      </c>
      <c r="P50" s="103">
        <v>14913.421184531298</v>
      </c>
      <c r="Q50" s="103">
        <v>9204.4968571003465</v>
      </c>
    </row>
    <row r="51" spans="2:17" x14ac:dyDescent="0.55000000000000004">
      <c r="B51" s="177" t="s">
        <v>733</v>
      </c>
      <c r="C51" s="117">
        <f>C50+C49+C48</f>
        <v>23317.378277040476</v>
      </c>
      <c r="D51" s="117">
        <f t="shared" ref="D51:G51" ca="1" si="39">D50+D49+D48</f>
        <v>19796.834842592958</v>
      </c>
      <c r="E51" s="117">
        <f t="shared" ca="1" si="39"/>
        <v>31974.370842072982</v>
      </c>
      <c r="F51" s="117">
        <f t="shared" ca="1" si="39"/>
        <v>70822.420534953475</v>
      </c>
      <c r="G51" s="175">
        <f t="shared" ca="1" si="39"/>
        <v>89390.945503181589</v>
      </c>
      <c r="N51" s="103">
        <v>22</v>
      </c>
      <c r="O51" s="103">
        <v>5656.2262160706014</v>
      </c>
      <c r="P51" s="103">
        <v>14913.421184531298</v>
      </c>
      <c r="Q51" s="103">
        <v>9204.4968571003465</v>
      </c>
    </row>
    <row r="52" spans="2:17" x14ac:dyDescent="0.55000000000000004">
      <c r="B52" s="177" t="s">
        <v>734</v>
      </c>
      <c r="C52" s="125">
        <v>-2.2215679999999998E-2</v>
      </c>
      <c r="D52" s="125">
        <v>-2.2215679999999998E-2</v>
      </c>
      <c r="E52" s="125">
        <v>-2.2215679999999998E-2</v>
      </c>
      <c r="F52" s="125">
        <v>-2.2215679999999998E-2</v>
      </c>
      <c r="G52" s="126">
        <v>-2.2215679999999998E-2</v>
      </c>
      <c r="N52" s="103">
        <v>23</v>
      </c>
      <c r="O52" s="103">
        <v>8939.9491955154281</v>
      </c>
      <c r="P52" s="103">
        <v>14913.421184531298</v>
      </c>
      <c r="Q52" s="103">
        <v>9204.4968571003465</v>
      </c>
    </row>
    <row r="53" spans="2:17" x14ac:dyDescent="0.55000000000000004">
      <c r="B53" s="177" t="s">
        <v>738</v>
      </c>
      <c r="C53" s="117">
        <f>0.0516*C48</f>
        <v>1314.6551294854287</v>
      </c>
      <c r="D53" s="117">
        <f t="shared" ref="D53:G53" ca="1" si="40">0.0516*D48</f>
        <v>1116.1610536717665</v>
      </c>
      <c r="E53" s="117">
        <f t="shared" ca="1" si="40"/>
        <v>1802.7415018432289</v>
      </c>
      <c r="F53" s="117">
        <f t="shared" ca="1" si="40"/>
        <v>3993.0342910364211</v>
      </c>
      <c r="G53" s="175">
        <f t="shared" ca="1" si="40"/>
        <v>5039.9432990838786</v>
      </c>
      <c r="N53" s="103">
        <v>24</v>
      </c>
      <c r="O53" s="103">
        <v>8794.0490797718521</v>
      </c>
      <c r="P53" s="103">
        <v>14913.421184531298</v>
      </c>
      <c r="Q53" s="103">
        <v>9204.4968571003465</v>
      </c>
    </row>
    <row r="54" spans="2:17" x14ac:dyDescent="0.55000000000000004">
      <c r="B54" s="177" t="s">
        <v>737</v>
      </c>
      <c r="C54" s="117">
        <f>C53+C52+C51</f>
        <v>24632.011190845904</v>
      </c>
      <c r="D54" s="117">
        <f t="shared" ref="D54:G54" ca="1" si="41">D53+D52+D51</f>
        <v>20912.973680584724</v>
      </c>
      <c r="E54" s="117">
        <f t="shared" ca="1" si="41"/>
        <v>33777.09012823621</v>
      </c>
      <c r="F54" s="117">
        <f t="shared" ca="1" si="41"/>
        <v>74815.432610309901</v>
      </c>
      <c r="G54" s="175">
        <f t="shared" ca="1" si="41"/>
        <v>94430.866586585471</v>
      </c>
      <c r="N54" s="103">
        <v>25</v>
      </c>
      <c r="O54" s="103">
        <v>83854.193353157883</v>
      </c>
      <c r="P54" s="103">
        <v>14913.421184531298</v>
      </c>
      <c r="Q54" s="103">
        <v>9204.4968571003465</v>
      </c>
    </row>
    <row r="55" spans="2:17" x14ac:dyDescent="0.55000000000000004">
      <c r="B55" s="177" t="s">
        <v>68</v>
      </c>
      <c r="C55" s="252">
        <v>18.5</v>
      </c>
      <c r="D55" s="252">
        <v>18.5</v>
      </c>
      <c r="E55" s="252">
        <v>18.5</v>
      </c>
      <c r="F55" s="252">
        <v>18.5</v>
      </c>
      <c r="G55" s="121">
        <v>18.5</v>
      </c>
      <c r="N55" s="103">
        <v>26</v>
      </c>
      <c r="O55" s="103">
        <v>-54949.09047368441</v>
      </c>
      <c r="P55" s="103">
        <v>14913.421184531298</v>
      </c>
      <c r="Q55" s="103">
        <v>9204.4968571003465</v>
      </c>
    </row>
    <row r="56" spans="2:17" x14ac:dyDescent="0.55000000000000004">
      <c r="B56" s="177" t="s">
        <v>736</v>
      </c>
      <c r="C56" s="117">
        <f>C55/100*C54</f>
        <v>4556.9220703064921</v>
      </c>
      <c r="D56" s="117">
        <f t="shared" ref="D56:G56" ca="1" si="42">D55/100*D54</f>
        <v>3868.9001309081741</v>
      </c>
      <c r="E56" s="117">
        <f t="shared" ca="1" si="42"/>
        <v>6248.7616737236986</v>
      </c>
      <c r="F56" s="117">
        <f t="shared" ca="1" si="42"/>
        <v>13840.855032907331</v>
      </c>
      <c r="G56" s="175">
        <f t="shared" ca="1" si="42"/>
        <v>17469.710318518311</v>
      </c>
      <c r="N56" s="103">
        <v>27</v>
      </c>
      <c r="O56" s="103">
        <v>1461.1050895759511</v>
      </c>
      <c r="P56" s="103">
        <v>14913.421184531298</v>
      </c>
      <c r="Q56" s="103">
        <v>9204.4968571003465</v>
      </c>
    </row>
    <row r="57" spans="2:17" x14ac:dyDescent="0.55000000000000004">
      <c r="B57" s="177" t="s">
        <v>735</v>
      </c>
      <c r="C57" s="117">
        <f>C54-C56</f>
        <v>20075.089120539411</v>
      </c>
      <c r="D57" s="117">
        <f t="shared" ref="D57:G57" ca="1" si="43">D54-D56</f>
        <v>17044.073549676548</v>
      </c>
      <c r="E57" s="117">
        <f t="shared" ca="1" si="43"/>
        <v>27528.328454512513</v>
      </c>
      <c r="F57" s="117">
        <f t="shared" ca="1" si="43"/>
        <v>60974.577577402568</v>
      </c>
      <c r="G57" s="175">
        <f t="shared" ca="1" si="43"/>
        <v>76961.156268067163</v>
      </c>
      <c r="N57" s="103">
        <v>28</v>
      </c>
      <c r="O57" s="103">
        <v>4433.7953866513326</v>
      </c>
      <c r="P57" s="103">
        <v>14913.421184531298</v>
      </c>
      <c r="Q57" s="103">
        <v>9204.4968571003465</v>
      </c>
    </row>
    <row r="58" spans="2:17" x14ac:dyDescent="0.55000000000000004">
      <c r="B58" s="177" t="s">
        <v>63</v>
      </c>
      <c r="C58" s="252">
        <v>0</v>
      </c>
      <c r="D58" s="252">
        <v>0</v>
      </c>
      <c r="E58" s="252">
        <v>0</v>
      </c>
      <c r="F58" s="252">
        <v>0</v>
      </c>
      <c r="G58" s="121">
        <v>0</v>
      </c>
      <c r="N58" s="103">
        <v>29</v>
      </c>
      <c r="O58" s="103">
        <v>20268.340181987747</v>
      </c>
      <c r="P58" s="103">
        <v>14913.421184531298</v>
      </c>
      <c r="Q58" s="103">
        <v>9204.4968571003465</v>
      </c>
    </row>
    <row r="59" spans="2:17" x14ac:dyDescent="0.55000000000000004">
      <c r="B59" s="177" t="s">
        <v>739</v>
      </c>
      <c r="C59" s="259">
        <f>C57</f>
        <v>20075.089120539411</v>
      </c>
      <c r="D59" s="259">
        <f t="shared" ref="D59:G59" ca="1" si="44">D57</f>
        <v>17044.073549676548</v>
      </c>
      <c r="E59" s="259">
        <f t="shared" ca="1" si="44"/>
        <v>27528.328454512513</v>
      </c>
      <c r="F59" s="259">
        <f t="shared" ca="1" si="44"/>
        <v>60974.577577402568</v>
      </c>
      <c r="G59" s="260">
        <f t="shared" ca="1" si="44"/>
        <v>76961.156268067163</v>
      </c>
      <c r="N59" s="103">
        <v>30</v>
      </c>
      <c r="O59" s="103">
        <v>5044.6272733936594</v>
      </c>
      <c r="P59" s="103">
        <v>14913.421184531298</v>
      </c>
      <c r="Q59" s="103">
        <v>9204.4968571003465</v>
      </c>
    </row>
    <row r="60" spans="2:17" x14ac:dyDescent="0.55000000000000004">
      <c r="B60" s="177" t="s">
        <v>671</v>
      </c>
      <c r="C60" s="259">
        <f>C59/C61*10000000000</f>
        <v>1494.3279671508205</v>
      </c>
      <c r="D60" s="259">
        <f t="shared" ref="D60:G60" ca="1" si="45">D59/D61*10000000000</f>
        <v>1268.7084787782437</v>
      </c>
      <c r="E60" s="259">
        <f t="shared" ca="1" si="45"/>
        <v>2049.1242081911341</v>
      </c>
      <c r="F60" s="259">
        <f t="shared" ca="1" si="45"/>
        <v>4538.7602521722565</v>
      </c>
      <c r="G60" s="260">
        <f t="shared" ca="1" si="45"/>
        <v>5728.752062075393</v>
      </c>
      <c r="N60" s="103">
        <v>31</v>
      </c>
      <c r="O60" s="103">
        <v>5944.4622962290578</v>
      </c>
      <c r="P60" s="103">
        <v>14913.421184531298</v>
      </c>
      <c r="Q60" s="103">
        <v>9204.4968571003465</v>
      </c>
    </row>
    <row r="61" spans="2:17" x14ac:dyDescent="0.55000000000000004">
      <c r="B61" s="179" t="s">
        <v>66</v>
      </c>
      <c r="C61" s="257">
        <v>134341922000</v>
      </c>
      <c r="D61" s="257">
        <v>134341922000</v>
      </c>
      <c r="E61" s="257">
        <v>134341922000</v>
      </c>
      <c r="F61" s="257">
        <v>134341922000</v>
      </c>
      <c r="G61" s="258">
        <v>134341922000</v>
      </c>
      <c r="N61" s="103">
        <v>32</v>
      </c>
      <c r="O61" s="103">
        <v>1148.6419978252588</v>
      </c>
      <c r="P61" s="103">
        <v>14913.421184531298</v>
      </c>
      <c r="Q61" s="103">
        <v>9204.4968571003465</v>
      </c>
    </row>
    <row r="62" spans="2:17" x14ac:dyDescent="0.55000000000000004">
      <c r="N62" s="103">
        <v>33</v>
      </c>
      <c r="O62" s="103">
        <v>169.69449726143239</v>
      </c>
      <c r="P62" s="103">
        <v>14913.421184531298</v>
      </c>
      <c r="Q62" s="103">
        <v>9204.4968571003465</v>
      </c>
    </row>
    <row r="63" spans="2:17" x14ac:dyDescent="0.55000000000000004">
      <c r="N63" s="103">
        <v>34</v>
      </c>
      <c r="O63" s="103">
        <v>6331.9806904821871</v>
      </c>
      <c r="P63" s="103">
        <v>14913.421184531298</v>
      </c>
      <c r="Q63" s="103">
        <v>9204.4968571003465</v>
      </c>
    </row>
    <row r="64" spans="2:17" x14ac:dyDescent="0.55000000000000004">
      <c r="N64" s="103">
        <v>35</v>
      </c>
      <c r="O64" s="103">
        <v>-1196.1707639660617</v>
      </c>
      <c r="P64" s="103">
        <v>14913.421184531298</v>
      </c>
      <c r="Q64" s="103">
        <v>9204.4968571003465</v>
      </c>
    </row>
    <row r="65" spans="14:17" x14ac:dyDescent="0.55000000000000004">
      <c r="N65" s="103">
        <v>36</v>
      </c>
      <c r="O65" s="103">
        <v>13695.359133068756</v>
      </c>
      <c r="P65" s="103">
        <v>14913.421184531298</v>
      </c>
      <c r="Q65" s="103">
        <v>9204.4968571003465</v>
      </c>
    </row>
    <row r="66" spans="14:17" x14ac:dyDescent="0.55000000000000004">
      <c r="N66" s="103">
        <v>37</v>
      </c>
      <c r="O66" s="103">
        <v>5918.8626303265901</v>
      </c>
      <c r="P66" s="103">
        <v>14913.421184531298</v>
      </c>
      <c r="Q66" s="103">
        <v>9204.4968571003465</v>
      </c>
    </row>
    <row r="67" spans="14:17" x14ac:dyDescent="0.55000000000000004">
      <c r="N67" s="103">
        <v>38</v>
      </c>
      <c r="O67" s="103">
        <v>5572.2234307506014</v>
      </c>
      <c r="P67" s="103">
        <v>14913.421184531298</v>
      </c>
      <c r="Q67" s="103">
        <v>9204.4968571003465</v>
      </c>
    </row>
    <row r="68" spans="14:17" x14ac:dyDescent="0.55000000000000004">
      <c r="N68" s="103">
        <v>39</v>
      </c>
      <c r="O68" s="103">
        <v>7183.2068040126651</v>
      </c>
      <c r="P68" s="103">
        <v>14913.421184531298</v>
      </c>
      <c r="Q68" s="103">
        <v>9204.4968571003465</v>
      </c>
    </row>
    <row r="69" spans="14:17" x14ac:dyDescent="0.55000000000000004">
      <c r="N69" s="103">
        <v>40</v>
      </c>
      <c r="O69" s="103">
        <v>9822.768993037067</v>
      </c>
      <c r="P69" s="103">
        <v>14913.421184531298</v>
      </c>
      <c r="Q69" s="103">
        <v>9204.4968571003465</v>
      </c>
    </row>
    <row r="70" spans="14:17" x14ac:dyDescent="0.55000000000000004">
      <c r="N70" s="103">
        <v>41</v>
      </c>
      <c r="O70" s="103">
        <v>63087.024448768214</v>
      </c>
      <c r="P70" s="103">
        <v>14913.421184531298</v>
      </c>
      <c r="Q70" s="103">
        <v>9204.4968571003465</v>
      </c>
    </row>
    <row r="71" spans="14:17" x14ac:dyDescent="0.55000000000000004">
      <c r="N71" s="103">
        <v>42</v>
      </c>
      <c r="O71" s="103">
        <v>-5439.4052183904423</v>
      </c>
      <c r="P71" s="103">
        <v>14913.421184531298</v>
      </c>
      <c r="Q71" s="103">
        <v>9204.4968571003465</v>
      </c>
    </row>
    <row r="72" spans="14:17" x14ac:dyDescent="0.55000000000000004">
      <c r="N72" s="103">
        <v>43</v>
      </c>
      <c r="O72" s="103">
        <v>19980.220207502207</v>
      </c>
      <c r="P72" s="103">
        <v>14913.421184531298</v>
      </c>
      <c r="Q72" s="103">
        <v>9204.4968571003465</v>
      </c>
    </row>
    <row r="73" spans="14:17" x14ac:dyDescent="0.55000000000000004">
      <c r="N73" s="103">
        <v>44</v>
      </c>
      <c r="O73" s="103">
        <v>11.437086323942822</v>
      </c>
      <c r="P73" s="103">
        <v>14913.421184531298</v>
      </c>
      <c r="Q73" s="103">
        <v>9204.4968571003465</v>
      </c>
    </row>
    <row r="74" spans="14:17" x14ac:dyDescent="0.55000000000000004">
      <c r="N74" s="103">
        <v>45</v>
      </c>
      <c r="O74" s="103">
        <v>368.44755798283859</v>
      </c>
      <c r="P74" s="103">
        <v>14913.421184531298</v>
      </c>
      <c r="Q74" s="103">
        <v>9204.4968571003465</v>
      </c>
    </row>
    <row r="75" spans="14:17" x14ac:dyDescent="0.55000000000000004">
      <c r="N75" s="103">
        <v>46</v>
      </c>
      <c r="O75" s="103">
        <v>19909.55885738329</v>
      </c>
      <c r="P75" s="103">
        <v>14913.421184531298</v>
      </c>
      <c r="Q75" s="103">
        <v>9204.4968571003465</v>
      </c>
    </row>
    <row r="76" spans="14:17" x14ac:dyDescent="0.55000000000000004">
      <c r="N76" s="103">
        <v>47</v>
      </c>
      <c r="O76" s="103">
        <v>-33.295258532386015</v>
      </c>
      <c r="P76" s="103">
        <v>14913.421184531298</v>
      </c>
      <c r="Q76" s="103">
        <v>9204.4968571003465</v>
      </c>
    </row>
    <row r="77" spans="14:17" x14ac:dyDescent="0.55000000000000004">
      <c r="N77" s="103">
        <v>48</v>
      </c>
      <c r="O77" s="103">
        <v>161.59914848314565</v>
      </c>
      <c r="P77" s="103">
        <v>14913.421184531298</v>
      </c>
      <c r="Q77" s="103">
        <v>9204.4968571003465</v>
      </c>
    </row>
    <row r="78" spans="14:17" x14ac:dyDescent="0.55000000000000004">
      <c r="N78" s="103">
        <v>49</v>
      </c>
      <c r="O78" s="103">
        <v>8466.685951716725</v>
      </c>
      <c r="P78" s="103">
        <v>14913.421184531298</v>
      </c>
      <c r="Q78" s="103">
        <v>9204.4968571003465</v>
      </c>
    </row>
    <row r="79" spans="14:17" x14ac:dyDescent="0.55000000000000004">
      <c r="N79" s="103">
        <v>50</v>
      </c>
      <c r="O79" s="103">
        <v>11389.64373057175</v>
      </c>
      <c r="P79" s="103">
        <v>14913.421184531298</v>
      </c>
      <c r="Q79" s="103">
        <v>9204.4968571003465</v>
      </c>
    </row>
    <row r="80" spans="14:17" x14ac:dyDescent="0.55000000000000004">
      <c r="N80" s="103">
        <v>51</v>
      </c>
      <c r="O80" s="103">
        <v>6174.809692986787</v>
      </c>
      <c r="P80" s="103">
        <v>14913.421184531298</v>
      </c>
      <c r="Q80" s="103">
        <v>9204.4968571003465</v>
      </c>
    </row>
    <row r="81" spans="14:17" x14ac:dyDescent="0.55000000000000004">
      <c r="N81" s="103">
        <v>52</v>
      </c>
      <c r="O81" s="103">
        <v>6389.7556171112328</v>
      </c>
      <c r="P81" s="103">
        <v>14913.421184531298</v>
      </c>
      <c r="Q81" s="103">
        <v>9204.4968571003465</v>
      </c>
    </row>
    <row r="82" spans="14:17" x14ac:dyDescent="0.55000000000000004">
      <c r="N82" s="103">
        <v>53</v>
      </c>
      <c r="O82" s="103">
        <v>-3248.4961339211168</v>
      </c>
      <c r="P82" s="103">
        <v>14913.421184531298</v>
      </c>
      <c r="Q82" s="103">
        <v>9204.4968571003465</v>
      </c>
    </row>
    <row r="83" spans="14:17" x14ac:dyDescent="0.55000000000000004">
      <c r="N83" s="103">
        <v>54</v>
      </c>
      <c r="O83" s="103">
        <v>9008.2718716140535</v>
      </c>
      <c r="P83" s="103">
        <v>14913.421184531298</v>
      </c>
      <c r="Q83" s="103">
        <v>9204.4968571003465</v>
      </c>
    </row>
    <row r="84" spans="14:17" x14ac:dyDescent="0.55000000000000004">
      <c r="N84" s="103">
        <v>55</v>
      </c>
      <c r="O84" s="103">
        <v>10690.301228566572</v>
      </c>
      <c r="P84" s="103">
        <v>14913.421184531298</v>
      </c>
      <c r="Q84" s="103">
        <v>9204.4968571003465</v>
      </c>
    </row>
    <row r="85" spans="14:17" x14ac:dyDescent="0.55000000000000004">
      <c r="N85" s="103">
        <v>56</v>
      </c>
      <c r="O85" s="103">
        <v>5884.9107713720132</v>
      </c>
      <c r="P85" s="103">
        <v>14913.421184531298</v>
      </c>
      <c r="Q85" s="103">
        <v>9204.4968571003465</v>
      </c>
    </row>
    <row r="86" spans="14:17" x14ac:dyDescent="0.55000000000000004">
      <c r="N86" s="103">
        <v>57</v>
      </c>
      <c r="O86" s="103">
        <v>6158.7618263838576</v>
      </c>
      <c r="P86" s="103">
        <v>14913.421184531298</v>
      </c>
      <c r="Q86" s="103">
        <v>9204.4968571003465</v>
      </c>
    </row>
    <row r="87" spans="14:17" x14ac:dyDescent="0.55000000000000004">
      <c r="N87" s="103">
        <v>58</v>
      </c>
      <c r="O87" s="103">
        <v>5806.3032246585935</v>
      </c>
      <c r="P87" s="103">
        <v>14913.421184531298</v>
      </c>
      <c r="Q87" s="103">
        <v>9204.4968571003465</v>
      </c>
    </row>
    <row r="88" spans="14:17" x14ac:dyDescent="0.55000000000000004">
      <c r="N88" s="103">
        <v>59</v>
      </c>
      <c r="O88" s="103">
        <v>10249.388600233387</v>
      </c>
      <c r="P88" s="103">
        <v>14913.421184531298</v>
      </c>
      <c r="Q88" s="103">
        <v>9204.4968571003465</v>
      </c>
    </row>
    <row r="89" spans="14:17" x14ac:dyDescent="0.55000000000000004">
      <c r="N89" s="103">
        <v>60</v>
      </c>
      <c r="O89" s="103">
        <v>20906.111912665438</v>
      </c>
      <c r="P89" s="103">
        <v>14913.421184531298</v>
      </c>
      <c r="Q89" s="103">
        <v>9204.4968571003465</v>
      </c>
    </row>
    <row r="90" spans="14:17" x14ac:dyDescent="0.55000000000000004">
      <c r="N90" s="103">
        <v>61</v>
      </c>
      <c r="O90" s="103">
        <v>-6118.0226649561864</v>
      </c>
      <c r="P90" s="103">
        <v>14913.421184531298</v>
      </c>
      <c r="Q90" s="103">
        <v>9204.4968571003465</v>
      </c>
    </row>
    <row r="91" spans="14:17" x14ac:dyDescent="0.55000000000000004">
      <c r="N91" s="103">
        <v>62</v>
      </c>
      <c r="O91" s="103">
        <v>4814.2975504973383</v>
      </c>
      <c r="P91" s="103">
        <v>14913.421184531298</v>
      </c>
      <c r="Q91" s="103">
        <v>9204.4968571003465</v>
      </c>
    </row>
    <row r="92" spans="14:17" x14ac:dyDescent="0.55000000000000004">
      <c r="N92" s="103">
        <v>63</v>
      </c>
      <c r="O92" s="103">
        <v>6631.0382576604916</v>
      </c>
      <c r="P92" s="103">
        <v>14913.421184531298</v>
      </c>
      <c r="Q92" s="103">
        <v>9204.4968571003465</v>
      </c>
    </row>
    <row r="93" spans="14:17" x14ac:dyDescent="0.55000000000000004">
      <c r="N93" s="103">
        <v>64</v>
      </c>
      <c r="O93" s="103">
        <v>11799.729333377392</v>
      </c>
      <c r="P93" s="103">
        <v>14913.421184531298</v>
      </c>
      <c r="Q93" s="103">
        <v>9204.4968571003465</v>
      </c>
    </row>
    <row r="94" spans="14:17" x14ac:dyDescent="0.55000000000000004">
      <c r="N94" s="103">
        <v>65</v>
      </c>
      <c r="O94" s="103">
        <v>-1957.3817263401615</v>
      </c>
      <c r="P94" s="103">
        <v>14913.421184531298</v>
      </c>
      <c r="Q94" s="103">
        <v>9204.4968571003465</v>
      </c>
    </row>
    <row r="95" spans="14:17" x14ac:dyDescent="0.55000000000000004">
      <c r="N95" s="103">
        <v>66</v>
      </c>
      <c r="O95" s="103">
        <v>-37099.217064596342</v>
      </c>
      <c r="P95" s="103">
        <v>14913.421184531298</v>
      </c>
      <c r="Q95" s="103">
        <v>9204.4968571003465</v>
      </c>
    </row>
    <row r="96" spans="14:17" x14ac:dyDescent="0.55000000000000004">
      <c r="N96" s="103">
        <v>67</v>
      </c>
      <c r="O96" s="103">
        <v>18956.3715529404</v>
      </c>
      <c r="P96" s="103">
        <v>14913.421184531298</v>
      </c>
      <c r="Q96" s="103">
        <v>9204.4968571003465</v>
      </c>
    </row>
    <row r="97" spans="14:17" x14ac:dyDescent="0.55000000000000004">
      <c r="N97" s="103">
        <v>68</v>
      </c>
      <c r="O97" s="103">
        <v>-3670.9691493589353</v>
      </c>
      <c r="P97" s="103">
        <v>14913.421184531298</v>
      </c>
      <c r="Q97" s="103">
        <v>9204.4968571003465</v>
      </c>
    </row>
    <row r="98" spans="14:17" x14ac:dyDescent="0.55000000000000004">
      <c r="N98" s="103">
        <v>69</v>
      </c>
      <c r="O98" s="103">
        <v>15869.587449569335</v>
      </c>
      <c r="P98" s="103">
        <v>14913.421184531298</v>
      </c>
      <c r="Q98" s="103">
        <v>9204.4968571003465</v>
      </c>
    </row>
    <row r="99" spans="14:17" x14ac:dyDescent="0.55000000000000004">
      <c r="N99" s="103">
        <v>70</v>
      </c>
      <c r="O99" s="103">
        <v>-2054.667567884183</v>
      </c>
      <c r="P99" s="103">
        <v>14913.421184531298</v>
      </c>
      <c r="Q99" s="103">
        <v>9204.4968571003465</v>
      </c>
    </row>
    <row r="100" spans="14:17" x14ac:dyDescent="0.55000000000000004">
      <c r="N100" s="103">
        <v>71</v>
      </c>
      <c r="O100" s="103">
        <v>5691.7380127839024</v>
      </c>
      <c r="P100" s="103">
        <v>14913.421184531298</v>
      </c>
      <c r="Q100" s="103">
        <v>9204.4968571003465</v>
      </c>
    </row>
    <row r="101" spans="14:17" x14ac:dyDescent="0.55000000000000004">
      <c r="N101" s="103">
        <v>72</v>
      </c>
      <c r="O101" s="103">
        <v>-3930.5313017171175</v>
      </c>
      <c r="P101" s="103">
        <v>14913.421184531298</v>
      </c>
      <c r="Q101" s="103">
        <v>9204.4968571003465</v>
      </c>
    </row>
    <row r="102" spans="14:17" x14ac:dyDescent="0.55000000000000004">
      <c r="N102" s="103">
        <v>73</v>
      </c>
      <c r="O102" s="103">
        <v>5897.3130860650217</v>
      </c>
      <c r="P102" s="103">
        <v>14913.421184531298</v>
      </c>
      <c r="Q102" s="103">
        <v>9204.4968571003465</v>
      </c>
    </row>
    <row r="103" spans="14:17" x14ac:dyDescent="0.55000000000000004">
      <c r="N103" s="103">
        <v>74</v>
      </c>
      <c r="O103" s="103">
        <v>3609.3755062780756</v>
      </c>
      <c r="P103" s="103">
        <v>14913.421184531298</v>
      </c>
      <c r="Q103" s="103">
        <v>9204.4968571003465</v>
      </c>
    </row>
    <row r="104" spans="14:17" x14ac:dyDescent="0.55000000000000004">
      <c r="N104" s="103">
        <v>75</v>
      </c>
      <c r="O104" s="103">
        <v>-2137.1613626350072</v>
      </c>
      <c r="P104" s="103">
        <v>14913.421184531298</v>
      </c>
      <c r="Q104" s="103">
        <v>9204.4968571003465</v>
      </c>
    </row>
    <row r="105" spans="14:17" x14ac:dyDescent="0.55000000000000004">
      <c r="N105" s="103">
        <v>76</v>
      </c>
      <c r="O105" s="103">
        <v>3520.4174039471582</v>
      </c>
      <c r="P105" s="103">
        <v>14913.421184531298</v>
      </c>
      <c r="Q105" s="103">
        <v>9204.4968571003465</v>
      </c>
    </row>
    <row r="106" spans="14:17" x14ac:dyDescent="0.55000000000000004">
      <c r="N106" s="103">
        <v>77</v>
      </c>
      <c r="O106" s="103">
        <v>26346.530133726112</v>
      </c>
      <c r="P106" s="103">
        <v>14913.421184531298</v>
      </c>
      <c r="Q106" s="103">
        <v>9204.4968571003465</v>
      </c>
    </row>
    <row r="107" spans="14:17" x14ac:dyDescent="0.55000000000000004">
      <c r="N107" s="103">
        <v>78</v>
      </c>
      <c r="O107" s="103">
        <v>8885.4384777703654</v>
      </c>
      <c r="P107" s="103">
        <v>14913.421184531298</v>
      </c>
      <c r="Q107" s="103">
        <v>9204.4968571003465</v>
      </c>
    </row>
    <row r="108" spans="14:17" x14ac:dyDescent="0.55000000000000004">
      <c r="N108" s="103">
        <v>79</v>
      </c>
      <c r="O108" s="103">
        <v>-4292.2491226593347</v>
      </c>
      <c r="P108" s="103">
        <v>14913.421184531298</v>
      </c>
      <c r="Q108" s="103">
        <v>9204.4968571003465</v>
      </c>
    </row>
    <row r="109" spans="14:17" x14ac:dyDescent="0.55000000000000004">
      <c r="N109" s="103">
        <v>80</v>
      </c>
      <c r="O109" s="103">
        <v>-1280.5373920010566</v>
      </c>
      <c r="P109" s="103">
        <v>14913.421184531298</v>
      </c>
      <c r="Q109" s="103">
        <v>9204.4968571003465</v>
      </c>
    </row>
    <row r="110" spans="14:17" x14ac:dyDescent="0.55000000000000004">
      <c r="N110" s="103">
        <v>81</v>
      </c>
      <c r="O110" s="103">
        <v>4412.5642411269664</v>
      </c>
      <c r="P110" s="103">
        <v>14913.421184531298</v>
      </c>
      <c r="Q110" s="103">
        <v>9204.4968571003465</v>
      </c>
    </row>
    <row r="111" spans="14:17" x14ac:dyDescent="0.55000000000000004">
      <c r="N111" s="103">
        <v>82</v>
      </c>
      <c r="O111" s="103">
        <v>4164.7679443757224</v>
      </c>
      <c r="P111" s="103">
        <v>14913.421184531298</v>
      </c>
      <c r="Q111" s="103">
        <v>9204.4968571003465</v>
      </c>
    </row>
    <row r="112" spans="14:17" x14ac:dyDescent="0.55000000000000004">
      <c r="N112" s="103">
        <v>83</v>
      </c>
      <c r="O112" s="103">
        <v>4972.5696155676924</v>
      </c>
      <c r="P112" s="103">
        <v>14913.421184531298</v>
      </c>
      <c r="Q112" s="103">
        <v>9204.4968571003465</v>
      </c>
    </row>
    <row r="113" spans="14:17" x14ac:dyDescent="0.55000000000000004">
      <c r="N113" s="103">
        <v>84</v>
      </c>
      <c r="O113" s="103">
        <v>-284.58646947637362</v>
      </c>
      <c r="P113" s="103">
        <v>14913.421184531298</v>
      </c>
      <c r="Q113" s="103">
        <v>9204.4968571003465</v>
      </c>
    </row>
    <row r="114" spans="14:17" x14ac:dyDescent="0.55000000000000004">
      <c r="N114" s="103">
        <v>85</v>
      </c>
      <c r="O114" s="103">
        <v>5317.324369052717</v>
      </c>
      <c r="P114" s="103">
        <v>14913.421184531298</v>
      </c>
      <c r="Q114" s="103">
        <v>9204.4968571003465</v>
      </c>
    </row>
    <row r="115" spans="14:17" x14ac:dyDescent="0.55000000000000004">
      <c r="N115" s="103">
        <v>86</v>
      </c>
      <c r="O115" s="103">
        <v>14272.275925154045</v>
      </c>
      <c r="P115" s="103">
        <v>14913.421184531298</v>
      </c>
      <c r="Q115" s="103">
        <v>9204.4968571003465</v>
      </c>
    </row>
    <row r="116" spans="14:17" x14ac:dyDescent="0.55000000000000004">
      <c r="N116" s="103">
        <v>87</v>
      </c>
      <c r="O116" s="103">
        <v>14013.80370575393</v>
      </c>
      <c r="P116" s="103">
        <v>14913.421184531298</v>
      </c>
      <c r="Q116" s="103">
        <v>9204.4968571003465</v>
      </c>
    </row>
    <row r="117" spans="14:17" x14ac:dyDescent="0.55000000000000004">
      <c r="N117" s="103">
        <v>88</v>
      </c>
      <c r="O117" s="103">
        <v>7240.9637544603029</v>
      </c>
      <c r="P117" s="103">
        <v>14913.421184531298</v>
      </c>
      <c r="Q117" s="103">
        <v>9204.4968571003465</v>
      </c>
    </row>
    <row r="118" spans="14:17" x14ac:dyDescent="0.55000000000000004">
      <c r="N118" s="103">
        <v>89</v>
      </c>
      <c r="O118" s="103">
        <v>68740.660087451906</v>
      </c>
      <c r="P118" s="103">
        <v>14913.421184531298</v>
      </c>
      <c r="Q118" s="103">
        <v>9204.4968571003465</v>
      </c>
    </row>
    <row r="119" spans="14:17" x14ac:dyDescent="0.55000000000000004">
      <c r="N119" s="103">
        <v>90</v>
      </c>
      <c r="O119" s="103">
        <v>5458.3448633190601</v>
      </c>
      <c r="P119" s="103">
        <v>14913.421184531298</v>
      </c>
      <c r="Q119" s="103">
        <v>9204.4968571003465</v>
      </c>
    </row>
    <row r="120" spans="14:17" x14ac:dyDescent="0.55000000000000004">
      <c r="N120" s="103">
        <v>91</v>
      </c>
      <c r="O120" s="103">
        <v>467.74835070168547</v>
      </c>
      <c r="P120" s="103">
        <v>14913.421184531298</v>
      </c>
      <c r="Q120" s="103">
        <v>9204.4968571003465</v>
      </c>
    </row>
    <row r="121" spans="14:17" x14ac:dyDescent="0.55000000000000004">
      <c r="N121" s="103">
        <v>92</v>
      </c>
      <c r="O121" s="103">
        <v>56432.618817503317</v>
      </c>
      <c r="P121" s="103">
        <v>14913.421184531298</v>
      </c>
      <c r="Q121" s="103">
        <v>9204.4968571003465</v>
      </c>
    </row>
    <row r="122" spans="14:17" x14ac:dyDescent="0.55000000000000004">
      <c r="N122" s="103">
        <v>93</v>
      </c>
      <c r="O122" s="103">
        <v>11790.271883512338</v>
      </c>
      <c r="P122" s="103">
        <v>14913.421184531298</v>
      </c>
      <c r="Q122" s="103">
        <v>9204.4968571003465</v>
      </c>
    </row>
    <row r="123" spans="14:17" x14ac:dyDescent="0.55000000000000004">
      <c r="N123" s="103">
        <v>94</v>
      </c>
      <c r="O123" s="103">
        <v>7493.8176528590866</v>
      </c>
      <c r="P123" s="103">
        <v>14913.421184531298</v>
      </c>
      <c r="Q123" s="103">
        <v>9204.4968571003465</v>
      </c>
    </row>
    <row r="124" spans="14:17" x14ac:dyDescent="0.55000000000000004">
      <c r="N124" s="103">
        <v>95</v>
      </c>
      <c r="O124" s="103">
        <v>-1634.1673209856999</v>
      </c>
      <c r="P124" s="103">
        <v>14913.421184531298</v>
      </c>
      <c r="Q124" s="103">
        <v>9204.4968571003465</v>
      </c>
    </row>
    <row r="125" spans="14:17" x14ac:dyDescent="0.55000000000000004">
      <c r="N125" s="103">
        <v>96</v>
      </c>
      <c r="O125" s="103">
        <v>-2091.9899647631501</v>
      </c>
      <c r="P125" s="103">
        <v>14913.421184531298</v>
      </c>
      <c r="Q125" s="103">
        <v>9204.4968571003465</v>
      </c>
    </row>
    <row r="126" spans="14:17" x14ac:dyDescent="0.55000000000000004">
      <c r="N126" s="103">
        <v>97</v>
      </c>
      <c r="O126" s="103">
        <v>-59409.854048883324</v>
      </c>
      <c r="P126" s="103">
        <v>14913.421184531298</v>
      </c>
      <c r="Q126" s="103">
        <v>9204.4968571003465</v>
      </c>
    </row>
    <row r="127" spans="14:17" x14ac:dyDescent="0.55000000000000004">
      <c r="N127" s="103">
        <v>98</v>
      </c>
      <c r="O127" s="103">
        <v>11036.540697093445</v>
      </c>
      <c r="P127" s="103">
        <v>14913.421184531298</v>
      </c>
      <c r="Q127" s="103">
        <v>9204.4968571003465</v>
      </c>
    </row>
    <row r="128" spans="14:17" x14ac:dyDescent="0.55000000000000004">
      <c r="N128" s="103">
        <v>99</v>
      </c>
      <c r="O128" s="103">
        <v>64417181.461769953</v>
      </c>
      <c r="P128" s="103">
        <v>14913.421184531298</v>
      </c>
      <c r="Q128" s="103">
        <v>9204.4968571003465</v>
      </c>
    </row>
    <row r="129" spans="14:17" x14ac:dyDescent="0.55000000000000004">
      <c r="N129" s="103">
        <v>100</v>
      </c>
      <c r="O129" s="103">
        <v>4528.8541475786205</v>
      </c>
      <c r="P129" s="103">
        <v>14913.421184531298</v>
      </c>
      <c r="Q129" s="103">
        <v>9204.4968571003465</v>
      </c>
    </row>
    <row r="130" spans="14:17" x14ac:dyDescent="0.55000000000000004">
      <c r="N130" s="103">
        <v>101</v>
      </c>
      <c r="O130" s="103">
        <v>34287.699992681693</v>
      </c>
      <c r="P130" s="103">
        <v>14913.421184531298</v>
      </c>
      <c r="Q130" s="103">
        <v>9204.4968571003465</v>
      </c>
    </row>
    <row r="131" spans="14:17" x14ac:dyDescent="0.55000000000000004">
      <c r="N131" s="103">
        <v>102</v>
      </c>
      <c r="O131" s="103">
        <v>-22978.179953026476</v>
      </c>
      <c r="P131" s="103">
        <v>14913.421184531298</v>
      </c>
      <c r="Q131" s="103">
        <v>9204.4968571003465</v>
      </c>
    </row>
    <row r="132" spans="14:17" x14ac:dyDescent="0.55000000000000004">
      <c r="N132" s="103">
        <v>103</v>
      </c>
      <c r="O132" s="103">
        <v>320.1885731444886</v>
      </c>
      <c r="P132" s="103">
        <v>14913.421184531298</v>
      </c>
      <c r="Q132" s="103">
        <v>9204.4968571003465</v>
      </c>
    </row>
    <row r="133" spans="14:17" x14ac:dyDescent="0.55000000000000004">
      <c r="N133" s="103">
        <v>104</v>
      </c>
      <c r="O133" s="103">
        <v>6636.3718546117234</v>
      </c>
      <c r="P133" s="103">
        <v>14913.421184531298</v>
      </c>
      <c r="Q133" s="103">
        <v>9204.4968571003465</v>
      </c>
    </row>
    <row r="134" spans="14:17" x14ac:dyDescent="0.55000000000000004">
      <c r="N134" s="103">
        <v>105</v>
      </c>
      <c r="O134" s="103">
        <v>-1017.7063005220862</v>
      </c>
      <c r="P134" s="103">
        <v>14913.421184531298</v>
      </c>
      <c r="Q134" s="103">
        <v>9204.4968571003465</v>
      </c>
    </row>
    <row r="135" spans="14:17" x14ac:dyDescent="0.55000000000000004">
      <c r="N135" s="103">
        <v>106</v>
      </c>
      <c r="O135" s="103">
        <v>7052.8883755997995</v>
      </c>
      <c r="P135" s="103">
        <v>14913.421184531298</v>
      </c>
      <c r="Q135" s="103">
        <v>9204.4968571003465</v>
      </c>
    </row>
    <row r="136" spans="14:17" x14ac:dyDescent="0.55000000000000004">
      <c r="N136" s="103">
        <v>107</v>
      </c>
      <c r="O136" s="103">
        <v>-22144.731798299308</v>
      </c>
      <c r="P136" s="103">
        <v>14913.421184531298</v>
      </c>
      <c r="Q136" s="103">
        <v>9204.4968571003465</v>
      </c>
    </row>
    <row r="137" spans="14:17" x14ac:dyDescent="0.55000000000000004">
      <c r="N137" s="103">
        <v>108</v>
      </c>
      <c r="O137" s="103">
        <v>4999.378731021121</v>
      </c>
      <c r="P137" s="103">
        <v>14913.421184531298</v>
      </c>
      <c r="Q137" s="103">
        <v>9204.4968571003465</v>
      </c>
    </row>
    <row r="138" spans="14:17" x14ac:dyDescent="0.55000000000000004">
      <c r="N138" s="103">
        <v>109</v>
      </c>
      <c r="O138" s="103">
        <v>7033.2634763436381</v>
      </c>
      <c r="P138" s="103">
        <v>14913.421184531298</v>
      </c>
      <c r="Q138" s="103">
        <v>9204.4968571003465</v>
      </c>
    </row>
    <row r="139" spans="14:17" x14ac:dyDescent="0.55000000000000004">
      <c r="N139" s="103">
        <v>110</v>
      </c>
      <c r="O139" s="103">
        <v>5297.2779128806478</v>
      </c>
      <c r="P139" s="103">
        <v>14913.421184531298</v>
      </c>
      <c r="Q139" s="103">
        <v>9204.4968571003465</v>
      </c>
    </row>
    <row r="140" spans="14:17" x14ac:dyDescent="0.55000000000000004">
      <c r="N140" s="103">
        <v>111</v>
      </c>
      <c r="O140" s="103">
        <v>28476.41389954236</v>
      </c>
      <c r="P140" s="103">
        <v>14913.421184531298</v>
      </c>
      <c r="Q140" s="103">
        <v>9204.4968571003465</v>
      </c>
    </row>
    <row r="141" spans="14:17" x14ac:dyDescent="0.55000000000000004">
      <c r="N141" s="103">
        <v>112</v>
      </c>
      <c r="O141" s="103">
        <v>360868.86155342183</v>
      </c>
      <c r="P141" s="103">
        <v>14913.421184531298</v>
      </c>
      <c r="Q141" s="103">
        <v>9204.4968571003465</v>
      </c>
    </row>
    <row r="142" spans="14:17" x14ac:dyDescent="0.55000000000000004">
      <c r="N142" s="103">
        <v>113</v>
      </c>
      <c r="O142" s="103">
        <v>7515.2077430475238</v>
      </c>
      <c r="P142" s="103">
        <v>14913.421184531298</v>
      </c>
      <c r="Q142" s="103">
        <v>9204.4968571003465</v>
      </c>
    </row>
    <row r="143" spans="14:17" x14ac:dyDescent="0.55000000000000004">
      <c r="N143" s="103">
        <v>114</v>
      </c>
      <c r="O143" s="103">
        <v>4411.1554316590546</v>
      </c>
      <c r="P143" s="103">
        <v>14913.421184531298</v>
      </c>
      <c r="Q143" s="103">
        <v>9204.4968571003465</v>
      </c>
    </row>
    <row r="144" spans="14:17" x14ac:dyDescent="0.55000000000000004">
      <c r="N144" s="103">
        <v>115</v>
      </c>
      <c r="O144" s="103">
        <v>5963.7908757673449</v>
      </c>
      <c r="P144" s="103">
        <v>14913.421184531298</v>
      </c>
      <c r="Q144" s="103">
        <v>9204.4968571003465</v>
      </c>
    </row>
    <row r="145" spans="14:17" x14ac:dyDescent="0.55000000000000004">
      <c r="N145" s="103">
        <v>116</v>
      </c>
      <c r="O145" s="103">
        <v>10053.76299353552</v>
      </c>
      <c r="P145" s="103">
        <v>14913.421184531298</v>
      </c>
      <c r="Q145" s="103">
        <v>9204.4968571003465</v>
      </c>
    </row>
    <row r="146" spans="14:17" x14ac:dyDescent="0.55000000000000004">
      <c r="N146" s="103">
        <v>117</v>
      </c>
      <c r="O146" s="103">
        <v>126.07354320331251</v>
      </c>
      <c r="P146" s="103">
        <v>14913.421184531298</v>
      </c>
      <c r="Q146" s="103">
        <v>9204.4968571003465</v>
      </c>
    </row>
    <row r="147" spans="14:17" x14ac:dyDescent="0.55000000000000004">
      <c r="N147" s="103">
        <v>118</v>
      </c>
      <c r="O147" s="103">
        <v>8307.4093899351537</v>
      </c>
      <c r="P147" s="103">
        <v>14913.421184531298</v>
      </c>
      <c r="Q147" s="103">
        <v>9204.4968571003465</v>
      </c>
    </row>
    <row r="148" spans="14:17" x14ac:dyDescent="0.55000000000000004">
      <c r="N148" s="103">
        <v>119</v>
      </c>
      <c r="O148" s="103">
        <v>114732.92212313635</v>
      </c>
      <c r="P148" s="103">
        <v>14913.421184531298</v>
      </c>
      <c r="Q148" s="103">
        <v>9204.4968571003465</v>
      </c>
    </row>
    <row r="149" spans="14:17" x14ac:dyDescent="0.55000000000000004">
      <c r="N149" s="103">
        <v>120</v>
      </c>
      <c r="O149" s="103">
        <v>7248.7579923594622</v>
      </c>
      <c r="P149" s="103">
        <v>14913.421184531298</v>
      </c>
      <c r="Q149" s="103">
        <v>9204.4968571003465</v>
      </c>
    </row>
    <row r="150" spans="14:17" x14ac:dyDescent="0.55000000000000004">
      <c r="N150" s="103">
        <v>121</v>
      </c>
      <c r="O150" s="103">
        <v>-59607.214402744336</v>
      </c>
      <c r="P150" s="103">
        <v>14913.421184531298</v>
      </c>
      <c r="Q150" s="103">
        <v>9204.4968571003465</v>
      </c>
    </row>
    <row r="151" spans="14:17" x14ac:dyDescent="0.55000000000000004">
      <c r="N151" s="103">
        <v>122</v>
      </c>
      <c r="O151" s="103">
        <v>34462.622636434869</v>
      </c>
      <c r="P151" s="103">
        <v>14913.421184531298</v>
      </c>
      <c r="Q151" s="103">
        <v>9204.4968571003465</v>
      </c>
    </row>
    <row r="152" spans="14:17" x14ac:dyDescent="0.55000000000000004">
      <c r="N152" s="103">
        <v>123</v>
      </c>
      <c r="O152" s="103">
        <v>42044.20248932817</v>
      </c>
      <c r="P152" s="103">
        <v>14913.421184531298</v>
      </c>
      <c r="Q152" s="103">
        <v>9204.4968571003465</v>
      </c>
    </row>
    <row r="153" spans="14:17" x14ac:dyDescent="0.55000000000000004">
      <c r="N153" s="103">
        <v>124</v>
      </c>
      <c r="O153" s="103">
        <v>691.01196591959933</v>
      </c>
      <c r="P153" s="103">
        <v>14913.421184531298</v>
      </c>
      <c r="Q153" s="103">
        <v>9204.4968571003465</v>
      </c>
    </row>
    <row r="154" spans="14:17" x14ac:dyDescent="0.55000000000000004">
      <c r="N154" s="103">
        <v>125</v>
      </c>
      <c r="O154" s="103">
        <v>15415.831681693366</v>
      </c>
      <c r="P154" s="103">
        <v>14913.421184531298</v>
      </c>
      <c r="Q154" s="103">
        <v>9204.4968571003465</v>
      </c>
    </row>
    <row r="155" spans="14:17" x14ac:dyDescent="0.55000000000000004">
      <c r="N155" s="103">
        <v>126</v>
      </c>
      <c r="O155" s="103">
        <v>10982.330569293004</v>
      </c>
      <c r="P155" s="103">
        <v>14913.421184531298</v>
      </c>
      <c r="Q155" s="103">
        <v>9204.4968571003465</v>
      </c>
    </row>
    <row r="156" spans="14:17" x14ac:dyDescent="0.55000000000000004">
      <c r="N156" s="103">
        <v>127</v>
      </c>
      <c r="O156" s="103">
        <v>5305.4095223890399</v>
      </c>
      <c r="P156" s="103">
        <v>14913.421184531298</v>
      </c>
      <c r="Q156" s="103">
        <v>9204.4968571003465</v>
      </c>
    </row>
    <row r="157" spans="14:17" x14ac:dyDescent="0.55000000000000004">
      <c r="N157" s="103">
        <v>128</v>
      </c>
      <c r="O157" s="103">
        <v>6228.8575174926991</v>
      </c>
      <c r="P157" s="103">
        <v>14913.421184531298</v>
      </c>
      <c r="Q157" s="103">
        <v>9204.4968571003465</v>
      </c>
    </row>
    <row r="158" spans="14:17" x14ac:dyDescent="0.55000000000000004">
      <c r="N158" s="103">
        <v>129</v>
      </c>
      <c r="O158" s="103">
        <v>8478.0210669519911</v>
      </c>
      <c r="P158" s="103">
        <v>14913.421184531298</v>
      </c>
      <c r="Q158" s="103">
        <v>9204.4968571003465</v>
      </c>
    </row>
    <row r="159" spans="14:17" x14ac:dyDescent="0.55000000000000004">
      <c r="N159" s="103">
        <v>130</v>
      </c>
      <c r="O159" s="103">
        <v>16781.574314063335</v>
      </c>
      <c r="P159" s="103">
        <v>14913.421184531298</v>
      </c>
      <c r="Q159" s="103">
        <v>9204.4968571003465</v>
      </c>
    </row>
    <row r="160" spans="14:17" x14ac:dyDescent="0.55000000000000004">
      <c r="N160" s="103">
        <v>131</v>
      </c>
      <c r="O160" s="103">
        <v>7733.7823920694482</v>
      </c>
      <c r="P160" s="103">
        <v>14913.421184531298</v>
      </c>
      <c r="Q160" s="103">
        <v>9204.4968571003465</v>
      </c>
    </row>
    <row r="161" spans="14:17" x14ac:dyDescent="0.55000000000000004">
      <c r="N161" s="103">
        <v>132</v>
      </c>
      <c r="O161" s="103">
        <v>-6967.8508682706615</v>
      </c>
      <c r="P161" s="103">
        <v>14913.421184531298</v>
      </c>
      <c r="Q161" s="103">
        <v>9204.4968571003465</v>
      </c>
    </row>
    <row r="162" spans="14:17" x14ac:dyDescent="0.55000000000000004">
      <c r="N162" s="103">
        <v>133</v>
      </c>
      <c r="O162" s="103">
        <v>1304.3477137716222</v>
      </c>
      <c r="P162" s="103">
        <v>14913.421184531298</v>
      </c>
      <c r="Q162" s="103">
        <v>9204.4968571003465</v>
      </c>
    </row>
    <row r="163" spans="14:17" x14ac:dyDescent="0.55000000000000004">
      <c r="N163" s="103">
        <v>134</v>
      </c>
      <c r="O163" s="103">
        <v>6470.9819702704563</v>
      </c>
      <c r="P163" s="103">
        <v>14913.421184531298</v>
      </c>
      <c r="Q163" s="103">
        <v>9204.4968571003465</v>
      </c>
    </row>
    <row r="164" spans="14:17" x14ac:dyDescent="0.55000000000000004">
      <c r="N164" s="103">
        <v>135</v>
      </c>
      <c r="O164" s="103">
        <v>5858.9578736521053</v>
      </c>
      <c r="P164" s="103">
        <v>14913.421184531298</v>
      </c>
      <c r="Q164" s="103">
        <v>9204.4968571003465</v>
      </c>
    </row>
    <row r="165" spans="14:17" x14ac:dyDescent="0.55000000000000004">
      <c r="N165" s="103">
        <v>136</v>
      </c>
      <c r="O165" s="103">
        <v>-27502.846610341345</v>
      </c>
      <c r="P165" s="103">
        <v>14913.421184531298</v>
      </c>
      <c r="Q165" s="103">
        <v>9204.4968571003465</v>
      </c>
    </row>
    <row r="166" spans="14:17" x14ac:dyDescent="0.55000000000000004">
      <c r="N166" s="103">
        <v>137</v>
      </c>
      <c r="O166" s="103">
        <v>10895.135419320923</v>
      </c>
      <c r="P166" s="103">
        <v>14913.421184531298</v>
      </c>
      <c r="Q166" s="103">
        <v>9204.4968571003465</v>
      </c>
    </row>
    <row r="167" spans="14:17" x14ac:dyDescent="0.55000000000000004">
      <c r="N167" s="103">
        <v>138</v>
      </c>
      <c r="O167" s="103">
        <v>22097.922500914461</v>
      </c>
      <c r="P167" s="103">
        <v>14913.421184531298</v>
      </c>
      <c r="Q167" s="103">
        <v>9204.4968571003465</v>
      </c>
    </row>
    <row r="168" spans="14:17" x14ac:dyDescent="0.55000000000000004">
      <c r="N168" s="103">
        <v>139</v>
      </c>
      <c r="O168" s="103">
        <v>6494.9784995794425</v>
      </c>
      <c r="P168" s="103">
        <v>14913.421184531298</v>
      </c>
      <c r="Q168" s="103">
        <v>9204.4968571003465</v>
      </c>
    </row>
    <row r="169" spans="14:17" x14ac:dyDescent="0.55000000000000004">
      <c r="N169" s="103">
        <v>140</v>
      </c>
      <c r="O169" s="103">
        <v>10603.053231865842</v>
      </c>
      <c r="P169" s="103">
        <v>14913.421184531298</v>
      </c>
      <c r="Q169" s="103">
        <v>9204.4968571003465</v>
      </c>
    </row>
    <row r="170" spans="14:17" x14ac:dyDescent="0.55000000000000004">
      <c r="N170" s="103">
        <v>141</v>
      </c>
      <c r="O170" s="103">
        <v>-6790.6031788302307</v>
      </c>
      <c r="P170" s="103">
        <v>14913.421184531298</v>
      </c>
      <c r="Q170" s="103">
        <v>9204.4968571003465</v>
      </c>
    </row>
    <row r="171" spans="14:17" x14ac:dyDescent="0.55000000000000004">
      <c r="N171" s="103">
        <v>142</v>
      </c>
      <c r="O171" s="103">
        <v>-720.53357231933842</v>
      </c>
      <c r="P171" s="103">
        <v>14913.421184531298</v>
      </c>
      <c r="Q171" s="103">
        <v>9204.4968571003465</v>
      </c>
    </row>
    <row r="172" spans="14:17" x14ac:dyDescent="0.55000000000000004">
      <c r="N172" s="103">
        <v>143</v>
      </c>
      <c r="O172" s="103">
        <v>-1840.6121084684592</v>
      </c>
      <c r="P172" s="103">
        <v>14913.421184531298</v>
      </c>
      <c r="Q172" s="103">
        <v>9204.4968571003465</v>
      </c>
    </row>
    <row r="173" spans="14:17" x14ac:dyDescent="0.55000000000000004">
      <c r="N173" s="103">
        <v>144</v>
      </c>
      <c r="O173" s="103">
        <v>-18417.869890760161</v>
      </c>
      <c r="P173" s="103">
        <v>14913.421184531298</v>
      </c>
      <c r="Q173" s="103">
        <v>9204.4968571003465</v>
      </c>
    </row>
    <row r="174" spans="14:17" x14ac:dyDescent="0.55000000000000004">
      <c r="N174" s="103">
        <v>145</v>
      </c>
      <c r="O174" s="103">
        <v>-4761.2222532065125</v>
      </c>
      <c r="P174" s="103">
        <v>14913.421184531298</v>
      </c>
      <c r="Q174" s="103">
        <v>9204.4968571003465</v>
      </c>
    </row>
    <row r="175" spans="14:17" x14ac:dyDescent="0.55000000000000004">
      <c r="N175" s="103">
        <v>146</v>
      </c>
      <c r="O175" s="103">
        <v>95394.053753532309</v>
      </c>
      <c r="P175" s="103">
        <v>14913.421184531298</v>
      </c>
      <c r="Q175" s="103">
        <v>9204.4968571003465</v>
      </c>
    </row>
    <row r="176" spans="14:17" x14ac:dyDescent="0.55000000000000004">
      <c r="N176" s="103">
        <v>147</v>
      </c>
      <c r="O176" s="103">
        <v>7686.0565458716192</v>
      </c>
      <c r="P176" s="103">
        <v>14913.421184531298</v>
      </c>
      <c r="Q176" s="103">
        <v>9204.4968571003465</v>
      </c>
    </row>
    <row r="177" spans="14:17" x14ac:dyDescent="0.55000000000000004">
      <c r="N177" s="103">
        <v>148</v>
      </c>
      <c r="O177" s="103">
        <v>6941.3729265230049</v>
      </c>
      <c r="P177" s="103">
        <v>14913.421184531298</v>
      </c>
      <c r="Q177" s="103">
        <v>9204.4968571003465</v>
      </c>
    </row>
    <row r="178" spans="14:17" x14ac:dyDescent="0.55000000000000004">
      <c r="N178" s="103">
        <v>149</v>
      </c>
      <c r="O178" s="103">
        <v>-116159.70479704418</v>
      </c>
      <c r="P178" s="103">
        <v>14913.421184531298</v>
      </c>
      <c r="Q178" s="103">
        <v>9204.4968571003465</v>
      </c>
    </row>
    <row r="179" spans="14:17" x14ac:dyDescent="0.55000000000000004">
      <c r="N179" s="103">
        <v>150</v>
      </c>
      <c r="O179" s="103">
        <v>-24056.86004141677</v>
      </c>
      <c r="P179" s="103">
        <v>14913.421184531298</v>
      </c>
      <c r="Q179" s="103">
        <v>9204.4968571003465</v>
      </c>
    </row>
    <row r="180" spans="14:17" x14ac:dyDescent="0.55000000000000004">
      <c r="N180" s="103">
        <v>151</v>
      </c>
      <c r="O180" s="103">
        <v>15621.829528311997</v>
      </c>
      <c r="P180" s="103">
        <v>14913.421184531298</v>
      </c>
      <c r="Q180" s="103">
        <v>9204.4968571003465</v>
      </c>
    </row>
    <row r="181" spans="14:17" x14ac:dyDescent="0.55000000000000004">
      <c r="N181" s="103">
        <v>152</v>
      </c>
      <c r="O181" s="103">
        <v>71812.09480754481</v>
      </c>
      <c r="P181" s="103">
        <v>14913.421184531298</v>
      </c>
      <c r="Q181" s="103">
        <v>9204.4968571003465</v>
      </c>
    </row>
    <row r="182" spans="14:17" x14ac:dyDescent="0.55000000000000004">
      <c r="N182" s="103">
        <v>153</v>
      </c>
      <c r="O182" s="103">
        <v>-1319.6268520575604</v>
      </c>
      <c r="P182" s="103">
        <v>14913.421184531298</v>
      </c>
      <c r="Q182" s="103">
        <v>9204.4968571003465</v>
      </c>
    </row>
    <row r="183" spans="14:17" x14ac:dyDescent="0.55000000000000004">
      <c r="N183" s="103">
        <v>154</v>
      </c>
      <c r="O183" s="103">
        <v>-3567.2147732009871</v>
      </c>
      <c r="P183" s="103">
        <v>14913.421184531298</v>
      </c>
      <c r="Q183" s="103">
        <v>9204.4968571003465</v>
      </c>
    </row>
    <row r="184" spans="14:17" x14ac:dyDescent="0.55000000000000004">
      <c r="N184" s="103">
        <v>155</v>
      </c>
      <c r="O184" s="103">
        <v>5532.20948617659</v>
      </c>
      <c r="P184" s="103">
        <v>14913.421184531298</v>
      </c>
      <c r="Q184" s="103">
        <v>9204.4968571003465</v>
      </c>
    </row>
    <row r="185" spans="14:17" x14ac:dyDescent="0.55000000000000004">
      <c r="N185" s="103">
        <v>156</v>
      </c>
      <c r="O185" s="103">
        <v>17337.038297828654</v>
      </c>
      <c r="P185" s="103">
        <v>14913.421184531298</v>
      </c>
      <c r="Q185" s="103">
        <v>9204.4968571003465</v>
      </c>
    </row>
    <row r="186" spans="14:17" x14ac:dyDescent="0.55000000000000004">
      <c r="N186" s="103">
        <v>157</v>
      </c>
      <c r="O186" s="103">
        <v>-13736.883236418096</v>
      </c>
      <c r="P186" s="103">
        <v>14913.421184531298</v>
      </c>
      <c r="Q186" s="103">
        <v>9204.4968571003465</v>
      </c>
    </row>
    <row r="187" spans="14:17" x14ac:dyDescent="0.55000000000000004">
      <c r="N187" s="103">
        <v>158</v>
      </c>
      <c r="O187" s="103">
        <v>-37840.125466976315</v>
      </c>
      <c r="P187" s="103">
        <v>14913.421184531298</v>
      </c>
      <c r="Q187" s="103">
        <v>9204.4968571003465</v>
      </c>
    </row>
    <row r="188" spans="14:17" x14ac:dyDescent="0.55000000000000004">
      <c r="N188" s="103">
        <v>159</v>
      </c>
      <c r="O188" s="103">
        <v>-3683.1126076658611</v>
      </c>
      <c r="P188" s="103">
        <v>14913.421184531298</v>
      </c>
      <c r="Q188" s="103">
        <v>9204.4968571003465</v>
      </c>
    </row>
    <row r="189" spans="14:17" x14ac:dyDescent="0.55000000000000004">
      <c r="N189" s="103">
        <v>160</v>
      </c>
      <c r="O189" s="103">
        <v>-4414.8394069122423</v>
      </c>
      <c r="P189" s="103">
        <v>14913.421184531298</v>
      </c>
      <c r="Q189" s="103">
        <v>9204.4968571003465</v>
      </c>
    </row>
    <row r="190" spans="14:17" x14ac:dyDescent="0.55000000000000004">
      <c r="N190" s="103">
        <v>161</v>
      </c>
      <c r="O190" s="103">
        <v>6255.2215190481911</v>
      </c>
      <c r="P190" s="103">
        <v>14913.421184531298</v>
      </c>
      <c r="Q190" s="103">
        <v>9204.4968571003465</v>
      </c>
    </row>
    <row r="191" spans="14:17" x14ac:dyDescent="0.55000000000000004">
      <c r="N191" s="103">
        <v>162</v>
      </c>
      <c r="O191" s="103">
        <v>-8142.4993475247738</v>
      </c>
      <c r="P191" s="103">
        <v>14913.421184531298</v>
      </c>
      <c r="Q191" s="103">
        <v>9204.4968571003465</v>
      </c>
    </row>
    <row r="192" spans="14:17" x14ac:dyDescent="0.55000000000000004">
      <c r="N192" s="103">
        <v>163</v>
      </c>
      <c r="O192" s="103">
        <v>-1601.6099510049016</v>
      </c>
      <c r="P192" s="103">
        <v>14913.421184531298</v>
      </c>
      <c r="Q192" s="103">
        <v>9204.4968571003465</v>
      </c>
    </row>
    <row r="193" spans="14:17" x14ac:dyDescent="0.55000000000000004">
      <c r="N193" s="103">
        <v>164</v>
      </c>
      <c r="O193" s="103">
        <v>29961.977392097378</v>
      </c>
      <c r="P193" s="103">
        <v>14913.421184531298</v>
      </c>
      <c r="Q193" s="103">
        <v>9204.4968571003465</v>
      </c>
    </row>
    <row r="194" spans="14:17" x14ac:dyDescent="0.55000000000000004">
      <c r="N194" s="103">
        <v>165</v>
      </c>
      <c r="O194" s="103">
        <v>15564.528045449286</v>
      </c>
      <c r="P194" s="103">
        <v>14913.421184531298</v>
      </c>
      <c r="Q194" s="103">
        <v>9204.4968571003465</v>
      </c>
    </row>
    <row r="195" spans="14:17" x14ac:dyDescent="0.55000000000000004">
      <c r="N195" s="103">
        <v>166</v>
      </c>
      <c r="O195" s="103">
        <v>68356.069092358812</v>
      </c>
      <c r="P195" s="103">
        <v>14913.421184531298</v>
      </c>
      <c r="Q195" s="103">
        <v>9204.4968571003465</v>
      </c>
    </row>
    <row r="196" spans="14:17" x14ac:dyDescent="0.55000000000000004">
      <c r="N196" s="103">
        <v>167</v>
      </c>
      <c r="O196" s="103">
        <v>132520.19282690316</v>
      </c>
      <c r="P196" s="103">
        <v>14913.421184531298</v>
      </c>
      <c r="Q196" s="103">
        <v>9204.4968571003465</v>
      </c>
    </row>
    <row r="197" spans="14:17" x14ac:dyDescent="0.55000000000000004">
      <c r="N197" s="103">
        <v>168</v>
      </c>
      <c r="O197" s="103">
        <v>-774.05463806491207</v>
      </c>
      <c r="P197" s="103">
        <v>14913.421184531298</v>
      </c>
      <c r="Q197" s="103">
        <v>9204.4968571003465</v>
      </c>
    </row>
    <row r="198" spans="14:17" x14ac:dyDescent="0.55000000000000004">
      <c r="N198" s="103">
        <v>169</v>
      </c>
      <c r="O198" s="103">
        <v>10795.866756862326</v>
      </c>
      <c r="P198" s="103">
        <v>14913.421184531298</v>
      </c>
      <c r="Q198" s="103">
        <v>9204.4968571003465</v>
      </c>
    </row>
    <row r="199" spans="14:17" x14ac:dyDescent="0.55000000000000004">
      <c r="N199" s="103">
        <v>170</v>
      </c>
      <c r="O199" s="103">
        <v>8661.5798723284643</v>
      </c>
      <c r="P199" s="103">
        <v>14913.421184531298</v>
      </c>
      <c r="Q199" s="103">
        <v>9204.4968571003465</v>
      </c>
    </row>
    <row r="200" spans="14:17" x14ac:dyDescent="0.55000000000000004">
      <c r="N200" s="103">
        <v>171</v>
      </c>
      <c r="O200" s="103">
        <v>-37535.76461876207</v>
      </c>
      <c r="P200" s="103">
        <v>14913.421184531298</v>
      </c>
      <c r="Q200" s="103">
        <v>9204.4968571003465</v>
      </c>
    </row>
    <row r="201" spans="14:17" x14ac:dyDescent="0.55000000000000004">
      <c r="N201" s="103">
        <v>172</v>
      </c>
      <c r="O201" s="103">
        <v>8215.4432948853646</v>
      </c>
      <c r="P201" s="103">
        <v>14913.421184531298</v>
      </c>
      <c r="Q201" s="103">
        <v>9204.4968571003465</v>
      </c>
    </row>
    <row r="202" spans="14:17" x14ac:dyDescent="0.55000000000000004">
      <c r="N202" s="103">
        <v>173</v>
      </c>
      <c r="O202" s="103">
        <v>-1074.081479104656</v>
      </c>
      <c r="P202" s="103">
        <v>14913.421184531298</v>
      </c>
      <c r="Q202" s="103">
        <v>9204.4968571003465</v>
      </c>
    </row>
    <row r="203" spans="14:17" x14ac:dyDescent="0.55000000000000004">
      <c r="N203" s="103">
        <v>174</v>
      </c>
      <c r="O203" s="103">
        <v>-6891.4048597151468</v>
      </c>
      <c r="P203" s="103">
        <v>14913.421184531298</v>
      </c>
      <c r="Q203" s="103">
        <v>9204.4968571003465</v>
      </c>
    </row>
    <row r="204" spans="14:17" x14ac:dyDescent="0.55000000000000004">
      <c r="N204" s="103">
        <v>175</v>
      </c>
      <c r="O204" s="103">
        <v>-3072.5001688828725</v>
      </c>
      <c r="P204" s="103">
        <v>14913.421184531298</v>
      </c>
      <c r="Q204" s="103">
        <v>9204.4968571003465</v>
      </c>
    </row>
    <row r="205" spans="14:17" x14ac:dyDescent="0.55000000000000004">
      <c r="N205" s="103">
        <v>176</v>
      </c>
      <c r="O205" s="103">
        <v>44239.592646663397</v>
      </c>
      <c r="P205" s="103">
        <v>14913.421184531298</v>
      </c>
      <c r="Q205" s="103">
        <v>9204.4968571003465</v>
      </c>
    </row>
    <row r="206" spans="14:17" x14ac:dyDescent="0.55000000000000004">
      <c r="N206" s="103">
        <v>177</v>
      </c>
      <c r="O206" s="103">
        <v>11962.15432190805</v>
      </c>
      <c r="P206" s="103">
        <v>14913.421184531298</v>
      </c>
      <c r="Q206" s="103">
        <v>9204.4968571003465</v>
      </c>
    </row>
    <row r="207" spans="14:17" x14ac:dyDescent="0.55000000000000004">
      <c r="N207" s="103">
        <v>178</v>
      </c>
      <c r="O207" s="103">
        <v>3301.9728953847625</v>
      </c>
      <c r="P207" s="103">
        <v>14913.421184531298</v>
      </c>
      <c r="Q207" s="103">
        <v>9204.4968571003465</v>
      </c>
    </row>
    <row r="208" spans="14:17" x14ac:dyDescent="0.55000000000000004">
      <c r="N208" s="103">
        <v>179</v>
      </c>
      <c r="O208" s="103">
        <v>8702.5787318869207</v>
      </c>
      <c r="P208" s="103">
        <v>14913.421184531298</v>
      </c>
      <c r="Q208" s="103">
        <v>9204.4968571003465</v>
      </c>
    </row>
    <row r="209" spans="14:17" x14ac:dyDescent="0.55000000000000004">
      <c r="N209" s="103">
        <v>180</v>
      </c>
      <c r="O209" s="103">
        <v>5255.6709688335177</v>
      </c>
      <c r="P209" s="103">
        <v>14913.421184531298</v>
      </c>
      <c r="Q209" s="103">
        <v>9204.4968571003465</v>
      </c>
    </row>
    <row r="210" spans="14:17" x14ac:dyDescent="0.55000000000000004">
      <c r="N210" s="103">
        <v>181</v>
      </c>
      <c r="O210" s="103">
        <v>273.7034645932581</v>
      </c>
      <c r="P210" s="103">
        <v>14913.421184531298</v>
      </c>
      <c r="Q210" s="103">
        <v>9204.4968571003465</v>
      </c>
    </row>
    <row r="211" spans="14:17" x14ac:dyDescent="0.55000000000000004">
      <c r="N211" s="103">
        <v>182</v>
      </c>
      <c r="O211" s="103">
        <v>4527.4505195300853</v>
      </c>
      <c r="P211" s="103">
        <v>14913.421184531298</v>
      </c>
      <c r="Q211" s="103">
        <v>9204.4968571003465</v>
      </c>
    </row>
    <row r="212" spans="14:17" x14ac:dyDescent="0.55000000000000004">
      <c r="N212" s="103">
        <v>183</v>
      </c>
      <c r="O212" s="103">
        <v>14217.287998911201</v>
      </c>
      <c r="P212" s="103">
        <v>14913.421184531298</v>
      </c>
      <c r="Q212" s="103">
        <v>9204.4968571003465</v>
      </c>
    </row>
    <row r="213" spans="14:17" x14ac:dyDescent="0.55000000000000004">
      <c r="N213" s="103">
        <v>184</v>
      </c>
      <c r="O213" s="103">
        <v>-4236.0788289278225</v>
      </c>
      <c r="P213" s="103">
        <v>14913.421184531298</v>
      </c>
      <c r="Q213" s="103">
        <v>9204.4968571003465</v>
      </c>
    </row>
    <row r="214" spans="14:17" x14ac:dyDescent="0.55000000000000004">
      <c r="N214" s="103">
        <v>185</v>
      </c>
      <c r="O214" s="103">
        <v>5189.9583187096996</v>
      </c>
      <c r="P214" s="103">
        <v>14913.421184531298</v>
      </c>
      <c r="Q214" s="103">
        <v>9204.4968571003465</v>
      </c>
    </row>
    <row r="215" spans="14:17" x14ac:dyDescent="0.55000000000000004">
      <c r="N215" s="103">
        <v>186</v>
      </c>
      <c r="O215" s="103">
        <v>-18015.607920123352</v>
      </c>
      <c r="P215" s="103">
        <v>14913.421184531298</v>
      </c>
      <c r="Q215" s="103">
        <v>9204.4968571003465</v>
      </c>
    </row>
    <row r="216" spans="14:17" x14ac:dyDescent="0.55000000000000004">
      <c r="N216" s="103">
        <v>187</v>
      </c>
      <c r="O216" s="103">
        <v>3989.1299480228031</v>
      </c>
      <c r="P216" s="103">
        <v>14913.421184531298</v>
      </c>
      <c r="Q216" s="103">
        <v>9204.4968571003465</v>
      </c>
    </row>
    <row r="217" spans="14:17" x14ac:dyDescent="0.55000000000000004">
      <c r="N217" s="103">
        <v>188</v>
      </c>
      <c r="O217" s="103">
        <v>44903.936275267042</v>
      </c>
      <c r="P217" s="103">
        <v>14913.421184531298</v>
      </c>
      <c r="Q217" s="103">
        <v>9204.4968571003465</v>
      </c>
    </row>
    <row r="218" spans="14:17" x14ac:dyDescent="0.55000000000000004">
      <c r="N218" s="103">
        <v>189</v>
      </c>
      <c r="O218" s="103">
        <v>1265.3703542589715</v>
      </c>
      <c r="P218" s="103">
        <v>14913.421184531298</v>
      </c>
      <c r="Q218" s="103">
        <v>9204.4968571003465</v>
      </c>
    </row>
    <row r="219" spans="14:17" x14ac:dyDescent="0.55000000000000004">
      <c r="N219" s="103">
        <v>190</v>
      </c>
      <c r="O219" s="103">
        <v>-9590.2362577768108</v>
      </c>
      <c r="P219" s="103">
        <v>14913.421184531298</v>
      </c>
      <c r="Q219" s="103">
        <v>9204.4968571003465</v>
      </c>
    </row>
    <row r="220" spans="14:17" x14ac:dyDescent="0.55000000000000004">
      <c r="N220" s="103">
        <v>191</v>
      </c>
      <c r="O220" s="103">
        <v>9046.9281870190425</v>
      </c>
      <c r="P220" s="103">
        <v>14913.421184531298</v>
      </c>
      <c r="Q220" s="103">
        <v>9204.4968571003465</v>
      </c>
    </row>
    <row r="221" spans="14:17" x14ac:dyDescent="0.55000000000000004">
      <c r="N221" s="103">
        <v>192</v>
      </c>
      <c r="O221" s="103">
        <v>4960.7989373038035</v>
      </c>
      <c r="P221" s="103">
        <v>14913.421184531298</v>
      </c>
      <c r="Q221" s="103">
        <v>9204.4968571003465</v>
      </c>
    </row>
    <row r="222" spans="14:17" x14ac:dyDescent="0.55000000000000004">
      <c r="N222" s="103">
        <v>193</v>
      </c>
      <c r="O222" s="103">
        <v>-590.46738777355176</v>
      </c>
      <c r="P222" s="103">
        <v>14913.421184531298</v>
      </c>
      <c r="Q222" s="103">
        <v>9204.4968571003465</v>
      </c>
    </row>
    <row r="223" spans="14:17" x14ac:dyDescent="0.55000000000000004">
      <c r="N223" s="103">
        <v>194</v>
      </c>
      <c r="O223" s="103">
        <v>6001.2138110188307</v>
      </c>
      <c r="P223" s="103">
        <v>14913.421184531298</v>
      </c>
      <c r="Q223" s="103">
        <v>9204.4968571003465</v>
      </c>
    </row>
    <row r="224" spans="14:17" x14ac:dyDescent="0.55000000000000004">
      <c r="N224" s="103">
        <v>195</v>
      </c>
      <c r="O224" s="103">
        <v>-6621.7629126031006</v>
      </c>
      <c r="P224" s="103">
        <v>14913.421184531298</v>
      </c>
      <c r="Q224" s="103">
        <v>9204.4968571003465</v>
      </c>
    </row>
    <row r="225" spans="14:17" x14ac:dyDescent="0.55000000000000004">
      <c r="N225" s="103">
        <v>196</v>
      </c>
      <c r="O225" s="103">
        <v>54137.748006618756</v>
      </c>
      <c r="P225" s="103">
        <v>14913.421184531298</v>
      </c>
      <c r="Q225" s="103">
        <v>9204.4968571003465</v>
      </c>
    </row>
    <row r="226" spans="14:17" x14ac:dyDescent="0.55000000000000004">
      <c r="N226" s="103">
        <v>197</v>
      </c>
      <c r="O226" s="103">
        <v>8518.4152286726257</v>
      </c>
      <c r="P226" s="103">
        <v>14913.421184531298</v>
      </c>
      <c r="Q226" s="103">
        <v>9204.4968571003465</v>
      </c>
    </row>
    <row r="227" spans="14:17" x14ac:dyDescent="0.55000000000000004">
      <c r="N227" s="103">
        <v>198</v>
      </c>
      <c r="O227" s="103">
        <v>5468.2073611144478</v>
      </c>
      <c r="P227" s="103">
        <v>14913.421184531298</v>
      </c>
      <c r="Q227" s="103">
        <v>9204.4968571003465</v>
      </c>
    </row>
    <row r="228" spans="14:17" x14ac:dyDescent="0.55000000000000004">
      <c r="N228" s="103">
        <v>199</v>
      </c>
      <c r="O228" s="103">
        <v>7730.8651177114752</v>
      </c>
      <c r="P228" s="103">
        <v>14913.421184531298</v>
      </c>
      <c r="Q228" s="103">
        <v>9204.4968571003465</v>
      </c>
    </row>
    <row r="229" spans="14:17" x14ac:dyDescent="0.55000000000000004">
      <c r="N229" s="103">
        <v>200</v>
      </c>
      <c r="O229" s="103">
        <v>16427.329951896183</v>
      </c>
      <c r="P229" s="103">
        <v>14913.421184531298</v>
      </c>
      <c r="Q229" s="103">
        <v>9204.4968571003465</v>
      </c>
    </row>
    <row r="230" spans="14:17" x14ac:dyDescent="0.55000000000000004">
      <c r="N230" s="103">
        <v>201</v>
      </c>
      <c r="O230" s="103">
        <v>-3093.8360309660056</v>
      </c>
      <c r="P230" s="103">
        <v>14913.421184531298</v>
      </c>
      <c r="Q230" s="103">
        <v>9204.4968571003465</v>
      </c>
    </row>
    <row r="231" spans="14:17" x14ac:dyDescent="0.55000000000000004">
      <c r="N231" s="103">
        <v>202</v>
      </c>
      <c r="O231" s="103">
        <v>6491.7379189034618</v>
      </c>
      <c r="P231" s="103">
        <v>14913.421184531298</v>
      </c>
      <c r="Q231" s="103">
        <v>9204.4968571003465</v>
      </c>
    </row>
    <row r="232" spans="14:17" x14ac:dyDescent="0.55000000000000004">
      <c r="N232" s="103">
        <v>203</v>
      </c>
      <c r="O232" s="103">
        <v>5258098.5566350846</v>
      </c>
      <c r="P232" s="103">
        <v>14913.421184531298</v>
      </c>
      <c r="Q232" s="103">
        <v>9204.4968571003465</v>
      </c>
    </row>
    <row r="233" spans="14:17" x14ac:dyDescent="0.55000000000000004">
      <c r="N233" s="103">
        <v>204</v>
      </c>
      <c r="O233" s="103">
        <v>11926.772903859153</v>
      </c>
      <c r="P233" s="103">
        <v>14913.421184531298</v>
      </c>
      <c r="Q233" s="103">
        <v>9204.4968571003465</v>
      </c>
    </row>
    <row r="234" spans="14:17" x14ac:dyDescent="0.55000000000000004">
      <c r="N234" s="103">
        <v>205</v>
      </c>
      <c r="O234" s="103">
        <v>-19136.480453221149</v>
      </c>
      <c r="P234" s="103">
        <v>14913.421184531298</v>
      </c>
      <c r="Q234" s="103">
        <v>9204.4968571003465</v>
      </c>
    </row>
    <row r="235" spans="14:17" x14ac:dyDescent="0.55000000000000004">
      <c r="N235" s="103">
        <v>206</v>
      </c>
      <c r="O235" s="103">
        <v>-59088.015023264292</v>
      </c>
      <c r="P235" s="103">
        <v>14913.421184531298</v>
      </c>
      <c r="Q235" s="103">
        <v>9204.4968571003465</v>
      </c>
    </row>
    <row r="236" spans="14:17" x14ac:dyDescent="0.55000000000000004">
      <c r="N236" s="103">
        <v>207</v>
      </c>
      <c r="O236" s="103">
        <v>5148.9384524453108</v>
      </c>
      <c r="P236" s="103">
        <v>14913.421184531298</v>
      </c>
      <c r="Q236" s="103">
        <v>9204.4968571003465</v>
      </c>
    </row>
    <row r="237" spans="14:17" x14ac:dyDescent="0.55000000000000004">
      <c r="N237" s="103">
        <v>208</v>
      </c>
      <c r="O237" s="103">
        <v>51686.563175446114</v>
      </c>
      <c r="P237" s="103">
        <v>14913.421184531298</v>
      </c>
      <c r="Q237" s="103">
        <v>9204.4968571003465</v>
      </c>
    </row>
    <row r="238" spans="14:17" x14ac:dyDescent="0.55000000000000004">
      <c r="N238" s="103">
        <v>209</v>
      </c>
      <c r="O238" s="103">
        <v>15576.474162960338</v>
      </c>
      <c r="P238" s="103">
        <v>14913.421184531298</v>
      </c>
      <c r="Q238" s="103">
        <v>9204.4968571003465</v>
      </c>
    </row>
    <row r="239" spans="14:17" x14ac:dyDescent="0.55000000000000004">
      <c r="N239" s="103">
        <v>210</v>
      </c>
      <c r="O239" s="103">
        <v>-9966.3154605179898</v>
      </c>
      <c r="P239" s="103">
        <v>14913.421184531298</v>
      </c>
      <c r="Q239" s="103">
        <v>9204.4968571003465</v>
      </c>
    </row>
    <row r="240" spans="14:17" x14ac:dyDescent="0.55000000000000004">
      <c r="N240" s="103">
        <v>211</v>
      </c>
      <c r="O240" s="103">
        <v>15633.404387834194</v>
      </c>
      <c r="P240" s="103">
        <v>14913.421184531298</v>
      </c>
      <c r="Q240" s="103">
        <v>9204.4968571003465</v>
      </c>
    </row>
    <row r="241" spans="14:17" x14ac:dyDescent="0.55000000000000004">
      <c r="N241" s="103">
        <v>212</v>
      </c>
      <c r="O241" s="103">
        <v>-14073.018685810086</v>
      </c>
      <c r="P241" s="103">
        <v>14913.421184531298</v>
      </c>
      <c r="Q241" s="103">
        <v>9204.4968571003465</v>
      </c>
    </row>
    <row r="242" spans="14:17" x14ac:dyDescent="0.55000000000000004">
      <c r="N242" s="103">
        <v>213</v>
      </c>
      <c r="O242" s="103">
        <v>-77.883806576435745</v>
      </c>
      <c r="P242" s="103">
        <v>14913.421184531298</v>
      </c>
      <c r="Q242" s="103">
        <v>9204.4968571003465</v>
      </c>
    </row>
    <row r="243" spans="14:17" x14ac:dyDescent="0.55000000000000004">
      <c r="N243" s="103">
        <v>214</v>
      </c>
      <c r="O243" s="103">
        <v>8503.2727928712211</v>
      </c>
      <c r="P243" s="103">
        <v>14913.421184531298</v>
      </c>
      <c r="Q243" s="103">
        <v>9204.4968571003465</v>
      </c>
    </row>
    <row r="244" spans="14:17" x14ac:dyDescent="0.55000000000000004">
      <c r="N244" s="103">
        <v>215</v>
      </c>
      <c r="O244" s="103">
        <v>348.80039726246014</v>
      </c>
      <c r="P244" s="103">
        <v>14913.421184531298</v>
      </c>
      <c r="Q244" s="103">
        <v>9204.4968571003465</v>
      </c>
    </row>
    <row r="245" spans="14:17" x14ac:dyDescent="0.55000000000000004">
      <c r="N245" s="103">
        <v>216</v>
      </c>
      <c r="O245" s="103">
        <v>11354.798603558662</v>
      </c>
      <c r="P245" s="103">
        <v>14913.421184531298</v>
      </c>
      <c r="Q245" s="103">
        <v>9204.4968571003465</v>
      </c>
    </row>
    <row r="246" spans="14:17" x14ac:dyDescent="0.55000000000000004">
      <c r="N246" s="103">
        <v>217</v>
      </c>
      <c r="O246" s="103">
        <v>5884.2820372160422</v>
      </c>
      <c r="P246" s="103">
        <v>14913.421184531298</v>
      </c>
      <c r="Q246" s="103">
        <v>9204.4968571003465</v>
      </c>
    </row>
    <row r="247" spans="14:17" x14ac:dyDescent="0.55000000000000004">
      <c r="N247" s="103">
        <v>218</v>
      </c>
      <c r="O247" s="103">
        <v>6745.9800200122445</v>
      </c>
      <c r="P247" s="103">
        <v>14913.421184531298</v>
      </c>
      <c r="Q247" s="103">
        <v>9204.4968571003465</v>
      </c>
    </row>
    <row r="248" spans="14:17" x14ac:dyDescent="0.55000000000000004">
      <c r="N248" s="103">
        <v>219</v>
      </c>
      <c r="O248" s="103">
        <v>-2140.6448386657457</v>
      </c>
      <c r="P248" s="103">
        <v>14913.421184531298</v>
      </c>
      <c r="Q248" s="103">
        <v>9204.4968571003465</v>
      </c>
    </row>
    <row r="249" spans="14:17" x14ac:dyDescent="0.55000000000000004">
      <c r="N249" s="103">
        <v>220</v>
      </c>
      <c r="O249" s="103">
        <v>20461.46561100972</v>
      </c>
      <c r="P249" s="103">
        <v>14913.421184531298</v>
      </c>
      <c r="Q249" s="103">
        <v>9204.4968571003465</v>
      </c>
    </row>
    <row r="250" spans="14:17" x14ac:dyDescent="0.55000000000000004">
      <c r="N250" s="103">
        <v>221</v>
      </c>
      <c r="O250" s="103">
        <v>-373392.05753231404</v>
      </c>
      <c r="P250" s="103">
        <v>14913.421184531298</v>
      </c>
      <c r="Q250" s="103">
        <v>9204.4968571003465</v>
      </c>
    </row>
    <row r="251" spans="14:17" x14ac:dyDescent="0.55000000000000004">
      <c r="N251" s="103">
        <v>222</v>
      </c>
      <c r="O251" s="103">
        <v>7817.8337989384327</v>
      </c>
      <c r="P251" s="103">
        <v>14913.421184531298</v>
      </c>
      <c r="Q251" s="103">
        <v>9204.4968571003465</v>
      </c>
    </row>
    <row r="252" spans="14:17" x14ac:dyDescent="0.55000000000000004">
      <c r="N252" s="103">
        <v>223</v>
      </c>
      <c r="O252" s="103">
        <v>23939.251398429005</v>
      </c>
      <c r="P252" s="103">
        <v>14913.421184531298</v>
      </c>
      <c r="Q252" s="103">
        <v>9204.4968571003465</v>
      </c>
    </row>
    <row r="253" spans="14:17" x14ac:dyDescent="0.55000000000000004">
      <c r="N253" s="103">
        <v>224</v>
      </c>
      <c r="O253" s="103">
        <v>7319.4284373019109</v>
      </c>
      <c r="P253" s="103">
        <v>14913.421184531298</v>
      </c>
      <c r="Q253" s="103">
        <v>9204.4968571003465</v>
      </c>
    </row>
    <row r="254" spans="14:17" x14ac:dyDescent="0.55000000000000004">
      <c r="N254" s="103">
        <v>225</v>
      </c>
      <c r="O254" s="103">
        <v>7464.5007399505721</v>
      </c>
      <c r="P254" s="103">
        <v>14913.421184531298</v>
      </c>
      <c r="Q254" s="103">
        <v>9204.4968571003465</v>
      </c>
    </row>
    <row r="255" spans="14:17" x14ac:dyDescent="0.55000000000000004">
      <c r="N255" s="103">
        <v>226</v>
      </c>
      <c r="O255" s="103">
        <v>18741.458654583654</v>
      </c>
      <c r="P255" s="103">
        <v>14913.421184531298</v>
      </c>
      <c r="Q255" s="103">
        <v>9204.4968571003465</v>
      </c>
    </row>
    <row r="256" spans="14:17" x14ac:dyDescent="0.55000000000000004">
      <c r="N256" s="103">
        <v>227</v>
      </c>
      <c r="O256" s="103">
        <v>42115.982697271444</v>
      </c>
      <c r="P256" s="103">
        <v>14913.421184531298</v>
      </c>
      <c r="Q256" s="103">
        <v>9204.4968571003465</v>
      </c>
    </row>
    <row r="257" spans="14:17" x14ac:dyDescent="0.55000000000000004">
      <c r="N257" s="103">
        <v>228</v>
      </c>
      <c r="O257" s="103">
        <v>-146.10006479868571</v>
      </c>
      <c r="P257" s="103">
        <v>14913.421184531298</v>
      </c>
      <c r="Q257" s="103">
        <v>9204.4968571003465</v>
      </c>
    </row>
    <row r="258" spans="14:17" x14ac:dyDescent="0.55000000000000004">
      <c r="N258" s="103">
        <v>229</v>
      </c>
      <c r="O258" s="103">
        <v>44903.864460319528</v>
      </c>
      <c r="P258" s="103">
        <v>14913.421184531298</v>
      </c>
      <c r="Q258" s="103">
        <v>9204.4968571003465</v>
      </c>
    </row>
    <row r="259" spans="14:17" x14ac:dyDescent="0.55000000000000004">
      <c r="N259" s="103">
        <v>230</v>
      </c>
      <c r="O259" s="103">
        <v>16085.281248307558</v>
      </c>
      <c r="P259" s="103">
        <v>14913.421184531298</v>
      </c>
      <c r="Q259" s="103">
        <v>9204.4968571003465</v>
      </c>
    </row>
    <row r="260" spans="14:17" x14ac:dyDescent="0.55000000000000004">
      <c r="N260" s="103">
        <v>231</v>
      </c>
      <c r="O260" s="103">
        <v>-791.53193852761979</v>
      </c>
      <c r="P260" s="103">
        <v>14913.421184531298</v>
      </c>
      <c r="Q260" s="103">
        <v>9204.4968571003465</v>
      </c>
    </row>
    <row r="261" spans="14:17" x14ac:dyDescent="0.55000000000000004">
      <c r="N261" s="103">
        <v>232</v>
      </c>
      <c r="O261" s="103">
        <v>7700.9447474392928</v>
      </c>
      <c r="P261" s="103">
        <v>14913.421184531298</v>
      </c>
      <c r="Q261" s="103">
        <v>9204.4968571003465</v>
      </c>
    </row>
    <row r="262" spans="14:17" x14ac:dyDescent="0.55000000000000004">
      <c r="N262" s="103">
        <v>233</v>
      </c>
      <c r="O262" s="103">
        <v>-25061.554484650518</v>
      </c>
      <c r="P262" s="103">
        <v>14913.421184531298</v>
      </c>
      <c r="Q262" s="103">
        <v>9204.4968571003465</v>
      </c>
    </row>
    <row r="263" spans="14:17" x14ac:dyDescent="0.55000000000000004">
      <c r="N263" s="103">
        <v>234</v>
      </c>
      <c r="O263" s="103">
        <v>11740.458284241333</v>
      </c>
      <c r="P263" s="103">
        <v>14913.421184531298</v>
      </c>
      <c r="Q263" s="103">
        <v>9204.4968571003465</v>
      </c>
    </row>
    <row r="264" spans="14:17" x14ac:dyDescent="0.55000000000000004">
      <c r="N264" s="103">
        <v>235</v>
      </c>
      <c r="O264" s="103">
        <v>6842.7306016595712</v>
      </c>
      <c r="P264" s="103">
        <v>14913.421184531298</v>
      </c>
      <c r="Q264" s="103">
        <v>9204.4968571003465</v>
      </c>
    </row>
    <row r="265" spans="14:17" x14ac:dyDescent="0.55000000000000004">
      <c r="N265" s="103">
        <v>236</v>
      </c>
      <c r="O265" s="103">
        <v>9395.316632088492</v>
      </c>
      <c r="P265" s="103">
        <v>14913.421184531298</v>
      </c>
      <c r="Q265" s="103">
        <v>9204.4968571003465</v>
      </c>
    </row>
    <row r="266" spans="14:17" x14ac:dyDescent="0.55000000000000004">
      <c r="N266" s="103">
        <v>237</v>
      </c>
      <c r="O266" s="103">
        <v>-440.11657696018756</v>
      </c>
      <c r="P266" s="103">
        <v>14913.421184531298</v>
      </c>
      <c r="Q266" s="103">
        <v>9204.4968571003465</v>
      </c>
    </row>
    <row r="267" spans="14:17" x14ac:dyDescent="0.55000000000000004">
      <c r="N267" s="103">
        <v>238</v>
      </c>
      <c r="O267" s="103">
        <v>-9455.8370419746334</v>
      </c>
      <c r="P267" s="103">
        <v>14913.421184531298</v>
      </c>
      <c r="Q267" s="103">
        <v>9204.4968571003465</v>
      </c>
    </row>
    <row r="268" spans="14:17" x14ac:dyDescent="0.55000000000000004">
      <c r="N268" s="103">
        <v>239</v>
      </c>
      <c r="O268" s="103">
        <v>-859.74615579434249</v>
      </c>
      <c r="P268" s="103">
        <v>14913.421184531298</v>
      </c>
      <c r="Q268" s="103">
        <v>9204.4968571003465</v>
      </c>
    </row>
    <row r="269" spans="14:17" x14ac:dyDescent="0.55000000000000004">
      <c r="N269" s="103">
        <v>240</v>
      </c>
      <c r="O269" s="103">
        <v>7315.3957760441517</v>
      </c>
      <c r="P269" s="103">
        <v>14913.421184531298</v>
      </c>
      <c r="Q269" s="103">
        <v>9204.4968571003465</v>
      </c>
    </row>
    <row r="270" spans="14:17" x14ac:dyDescent="0.55000000000000004">
      <c r="N270" s="103">
        <v>241</v>
      </c>
      <c r="O270" s="103">
        <v>-3839.8703964241204</v>
      </c>
      <c r="P270" s="103">
        <v>14913.421184531298</v>
      </c>
      <c r="Q270" s="103">
        <v>9204.4968571003465</v>
      </c>
    </row>
    <row r="271" spans="14:17" x14ac:dyDescent="0.55000000000000004">
      <c r="N271" s="103">
        <v>242</v>
      </c>
      <c r="O271" s="103">
        <v>14309.962764600972</v>
      </c>
      <c r="P271" s="103">
        <v>14913.421184531298</v>
      </c>
      <c r="Q271" s="103">
        <v>9204.4968571003465</v>
      </c>
    </row>
    <row r="272" spans="14:17" x14ac:dyDescent="0.55000000000000004">
      <c r="N272" s="103">
        <v>243</v>
      </c>
      <c r="O272" s="103">
        <v>65421.326362602704</v>
      </c>
      <c r="P272" s="103">
        <v>14913.421184531298</v>
      </c>
      <c r="Q272" s="103">
        <v>9204.4968571003465</v>
      </c>
    </row>
    <row r="273" spans="14:17" x14ac:dyDescent="0.55000000000000004">
      <c r="N273" s="103">
        <v>244</v>
      </c>
      <c r="O273" s="103">
        <v>-2229.1777328151011</v>
      </c>
      <c r="P273" s="103">
        <v>14913.421184531298</v>
      </c>
      <c r="Q273" s="103">
        <v>9204.4968571003465</v>
      </c>
    </row>
    <row r="274" spans="14:17" x14ac:dyDescent="0.55000000000000004">
      <c r="N274" s="103">
        <v>245</v>
      </c>
      <c r="O274" s="103">
        <v>5978.4905950162192</v>
      </c>
      <c r="P274" s="103">
        <v>14913.421184531298</v>
      </c>
      <c r="Q274" s="103">
        <v>9204.4968571003465</v>
      </c>
    </row>
    <row r="275" spans="14:17" x14ac:dyDescent="0.55000000000000004">
      <c r="N275" s="103">
        <v>246</v>
      </c>
      <c r="O275" s="103">
        <v>47859.778600350997</v>
      </c>
      <c r="P275" s="103">
        <v>14913.421184531298</v>
      </c>
      <c r="Q275" s="103">
        <v>9204.4968571003465</v>
      </c>
    </row>
    <row r="276" spans="14:17" x14ac:dyDescent="0.55000000000000004">
      <c r="N276" s="103">
        <v>247</v>
      </c>
      <c r="O276" s="103">
        <v>4574.1800247480123</v>
      </c>
      <c r="P276" s="103">
        <v>14913.421184531298</v>
      </c>
      <c r="Q276" s="103">
        <v>9204.4968571003465</v>
      </c>
    </row>
    <row r="277" spans="14:17" x14ac:dyDescent="0.55000000000000004">
      <c r="N277" s="103">
        <v>248</v>
      </c>
      <c r="O277" s="103">
        <v>-2391.0585915399106</v>
      </c>
      <c r="P277" s="103">
        <v>14913.421184531298</v>
      </c>
      <c r="Q277" s="103">
        <v>9204.4968571003465</v>
      </c>
    </row>
    <row r="278" spans="14:17" x14ac:dyDescent="0.55000000000000004">
      <c r="N278" s="103">
        <v>249</v>
      </c>
      <c r="O278" s="103">
        <v>6869.045629504928</v>
      </c>
      <c r="P278" s="103">
        <v>14913.421184531298</v>
      </c>
      <c r="Q278" s="103">
        <v>9204.4968571003465</v>
      </c>
    </row>
    <row r="279" spans="14:17" x14ac:dyDescent="0.55000000000000004">
      <c r="N279" s="103">
        <v>250</v>
      </c>
      <c r="O279" s="103">
        <v>6915.7436512946315</v>
      </c>
      <c r="P279" s="103">
        <v>14913.421184531298</v>
      </c>
      <c r="Q279" s="103">
        <v>9204.4968571003465</v>
      </c>
    </row>
    <row r="280" spans="14:17" x14ac:dyDescent="0.55000000000000004">
      <c r="N280" s="103">
        <v>251</v>
      </c>
      <c r="O280" s="103">
        <v>40466.642761265954</v>
      </c>
      <c r="P280" s="103">
        <v>14913.421184531298</v>
      </c>
      <c r="Q280" s="103">
        <v>9204.4968571003465</v>
      </c>
    </row>
    <row r="281" spans="14:17" x14ac:dyDescent="0.55000000000000004">
      <c r="N281" s="103">
        <v>252</v>
      </c>
      <c r="O281" s="103">
        <v>4272.3443242851572</v>
      </c>
      <c r="P281" s="103">
        <v>14913.421184531298</v>
      </c>
      <c r="Q281" s="103">
        <v>9204.4968571003465</v>
      </c>
    </row>
    <row r="282" spans="14:17" x14ac:dyDescent="0.55000000000000004">
      <c r="N282" s="103">
        <v>253</v>
      </c>
      <c r="O282" s="103">
        <v>5052.962407684794</v>
      </c>
      <c r="P282" s="103">
        <v>14913.421184531298</v>
      </c>
      <c r="Q282" s="103">
        <v>9204.4968571003465</v>
      </c>
    </row>
    <row r="283" spans="14:17" x14ac:dyDescent="0.55000000000000004">
      <c r="N283" s="103">
        <v>254</v>
      </c>
      <c r="O283" s="103">
        <v>-2574.850245477216</v>
      </c>
      <c r="P283" s="103">
        <v>14913.421184531298</v>
      </c>
      <c r="Q283" s="103">
        <v>9204.4968571003465</v>
      </c>
    </row>
    <row r="284" spans="14:17" x14ac:dyDescent="0.55000000000000004">
      <c r="N284" s="103">
        <v>255</v>
      </c>
      <c r="O284" s="103">
        <v>18564.708557099639</v>
      </c>
      <c r="P284" s="103">
        <v>14913.421184531298</v>
      </c>
      <c r="Q284" s="103">
        <v>9204.4968571003465</v>
      </c>
    </row>
    <row r="285" spans="14:17" x14ac:dyDescent="0.55000000000000004">
      <c r="N285" s="103">
        <v>256</v>
      </c>
      <c r="O285" s="103">
        <v>6821.2222270340262</v>
      </c>
      <c r="P285" s="103">
        <v>14913.421184531298</v>
      </c>
      <c r="Q285" s="103">
        <v>9204.4968571003465</v>
      </c>
    </row>
    <row r="286" spans="14:17" x14ac:dyDescent="0.55000000000000004">
      <c r="N286" s="103">
        <v>257</v>
      </c>
      <c r="O286" s="103">
        <v>7237.1534446675887</v>
      </c>
      <c r="P286" s="103">
        <v>14913.421184531298</v>
      </c>
      <c r="Q286" s="103">
        <v>9204.4968571003465</v>
      </c>
    </row>
    <row r="287" spans="14:17" x14ac:dyDescent="0.55000000000000004">
      <c r="N287" s="103">
        <v>258</v>
      </c>
      <c r="O287" s="103">
        <v>-3867.8527192567262</v>
      </c>
      <c r="P287" s="103">
        <v>14913.421184531298</v>
      </c>
      <c r="Q287" s="103">
        <v>9204.4968571003465</v>
      </c>
    </row>
    <row r="288" spans="14:17" x14ac:dyDescent="0.55000000000000004">
      <c r="N288" s="103">
        <v>259</v>
      </c>
      <c r="O288" s="103">
        <v>3690.3704355866212</v>
      </c>
      <c r="P288" s="103">
        <v>14913.421184531298</v>
      </c>
      <c r="Q288" s="103">
        <v>9204.4968571003465</v>
      </c>
    </row>
    <row r="289" spans="14:17" x14ac:dyDescent="0.55000000000000004">
      <c r="N289" s="103">
        <v>260</v>
      </c>
      <c r="O289" s="103">
        <v>8140.5055768584789</v>
      </c>
      <c r="P289" s="103">
        <v>14913.421184531298</v>
      </c>
      <c r="Q289" s="103">
        <v>9204.4968571003465</v>
      </c>
    </row>
    <row r="290" spans="14:17" x14ac:dyDescent="0.55000000000000004">
      <c r="N290" s="103">
        <v>261</v>
      </c>
      <c r="O290" s="103">
        <v>8679.1164038031256</v>
      </c>
      <c r="P290" s="103">
        <v>14913.421184531298</v>
      </c>
      <c r="Q290" s="103">
        <v>9204.4968571003465</v>
      </c>
    </row>
    <row r="291" spans="14:17" x14ac:dyDescent="0.55000000000000004">
      <c r="N291" s="103">
        <v>262</v>
      </c>
      <c r="O291" s="103">
        <v>-4730.5594252422597</v>
      </c>
      <c r="P291" s="103">
        <v>14913.421184531298</v>
      </c>
      <c r="Q291" s="103">
        <v>9204.4968571003465</v>
      </c>
    </row>
    <row r="292" spans="14:17" x14ac:dyDescent="0.55000000000000004">
      <c r="N292" s="103">
        <v>263</v>
      </c>
      <c r="O292" s="103">
        <v>15775.917957955091</v>
      </c>
      <c r="P292" s="103">
        <v>14913.421184531298</v>
      </c>
      <c r="Q292" s="103">
        <v>9204.4968571003465</v>
      </c>
    </row>
    <row r="293" spans="14:17" x14ac:dyDescent="0.55000000000000004">
      <c r="N293" s="103">
        <v>264</v>
      </c>
      <c r="O293" s="103">
        <v>-3496.7901431749679</v>
      </c>
      <c r="P293" s="103">
        <v>14913.421184531298</v>
      </c>
      <c r="Q293" s="103">
        <v>9204.4968571003465</v>
      </c>
    </row>
    <row r="294" spans="14:17" x14ac:dyDescent="0.55000000000000004">
      <c r="N294" s="103">
        <v>265</v>
      </c>
      <c r="O294" s="103">
        <v>5103.9663923849057</v>
      </c>
      <c r="P294" s="103">
        <v>14913.421184531298</v>
      </c>
      <c r="Q294" s="103">
        <v>9204.4968571003465</v>
      </c>
    </row>
    <row r="295" spans="14:17" x14ac:dyDescent="0.55000000000000004">
      <c r="N295" s="103">
        <v>266</v>
      </c>
      <c r="O295" s="103">
        <v>-2727.6690488271497</v>
      </c>
      <c r="P295" s="103">
        <v>14913.421184531298</v>
      </c>
      <c r="Q295" s="103">
        <v>9204.4968571003465</v>
      </c>
    </row>
    <row r="296" spans="14:17" x14ac:dyDescent="0.55000000000000004">
      <c r="N296" s="103">
        <v>267</v>
      </c>
      <c r="O296" s="103">
        <v>10737.599081719316</v>
      </c>
      <c r="P296" s="103">
        <v>14913.421184531298</v>
      </c>
      <c r="Q296" s="103">
        <v>9204.4968571003465</v>
      </c>
    </row>
    <row r="297" spans="14:17" x14ac:dyDescent="0.55000000000000004">
      <c r="N297" s="103">
        <v>268</v>
      </c>
      <c r="O297" s="103">
        <v>12076.491126563895</v>
      </c>
      <c r="P297" s="103">
        <v>14913.421184531298</v>
      </c>
      <c r="Q297" s="103">
        <v>9204.4968571003465</v>
      </c>
    </row>
    <row r="298" spans="14:17" x14ac:dyDescent="0.55000000000000004">
      <c r="N298" s="103">
        <v>269</v>
      </c>
      <c r="O298" s="103">
        <v>-3562.7675665462275</v>
      </c>
      <c r="P298" s="103">
        <v>14913.421184531298</v>
      </c>
      <c r="Q298" s="103">
        <v>9204.4968571003465</v>
      </c>
    </row>
    <row r="299" spans="14:17" x14ac:dyDescent="0.55000000000000004">
      <c r="N299" s="103">
        <v>270</v>
      </c>
      <c r="O299" s="103">
        <v>-11233.350283030251</v>
      </c>
      <c r="P299" s="103">
        <v>14913.421184531298</v>
      </c>
      <c r="Q299" s="103">
        <v>9204.4968571003465</v>
      </c>
    </row>
    <row r="300" spans="14:17" x14ac:dyDescent="0.55000000000000004">
      <c r="N300" s="103">
        <v>271</v>
      </c>
      <c r="O300" s="103">
        <v>5415.5477606726072</v>
      </c>
      <c r="P300" s="103">
        <v>14913.421184531298</v>
      </c>
      <c r="Q300" s="103">
        <v>9204.4968571003465</v>
      </c>
    </row>
    <row r="301" spans="14:17" x14ac:dyDescent="0.55000000000000004">
      <c r="N301" s="103">
        <v>272</v>
      </c>
      <c r="O301" s="103">
        <v>-49307.666908495528</v>
      </c>
      <c r="P301" s="103">
        <v>14913.421184531298</v>
      </c>
      <c r="Q301" s="103">
        <v>9204.4968571003465</v>
      </c>
    </row>
    <row r="302" spans="14:17" x14ac:dyDescent="0.55000000000000004">
      <c r="N302" s="103">
        <v>273</v>
      </c>
      <c r="O302" s="103">
        <v>-1221.7002209908624</v>
      </c>
      <c r="P302" s="103">
        <v>14913.421184531298</v>
      </c>
      <c r="Q302" s="103">
        <v>9204.4968571003465</v>
      </c>
    </row>
    <row r="303" spans="14:17" x14ac:dyDescent="0.55000000000000004">
      <c r="N303" s="103">
        <v>274</v>
      </c>
      <c r="O303" s="103">
        <v>-26339.757195207025</v>
      </c>
      <c r="P303" s="103">
        <v>14913.421184531298</v>
      </c>
      <c r="Q303" s="103">
        <v>9204.4968571003465</v>
      </c>
    </row>
    <row r="304" spans="14:17" x14ac:dyDescent="0.55000000000000004">
      <c r="N304" s="103">
        <v>275</v>
      </c>
      <c r="O304" s="103">
        <v>5823.2248776457363</v>
      </c>
      <c r="P304" s="103">
        <v>14913.421184531298</v>
      </c>
      <c r="Q304" s="103">
        <v>9204.4968571003465</v>
      </c>
    </row>
    <row r="305" spans="14:17" x14ac:dyDescent="0.55000000000000004">
      <c r="N305" s="103">
        <v>276</v>
      </c>
      <c r="O305" s="103">
        <v>-4286.2702961370778</v>
      </c>
      <c r="P305" s="103">
        <v>14913.421184531298</v>
      </c>
      <c r="Q305" s="103">
        <v>9204.4968571003465</v>
      </c>
    </row>
    <row r="306" spans="14:17" x14ac:dyDescent="0.55000000000000004">
      <c r="N306" s="103">
        <v>277</v>
      </c>
      <c r="O306" s="103">
        <v>8861.305833918319</v>
      </c>
      <c r="P306" s="103">
        <v>14913.421184531298</v>
      </c>
      <c r="Q306" s="103">
        <v>9204.4968571003465</v>
      </c>
    </row>
    <row r="307" spans="14:17" x14ac:dyDescent="0.55000000000000004">
      <c r="N307" s="103">
        <v>278</v>
      </c>
      <c r="O307" s="103">
        <v>8102.539594984386</v>
      </c>
      <c r="P307" s="103">
        <v>14913.421184531298</v>
      </c>
      <c r="Q307" s="103">
        <v>9204.4968571003465</v>
      </c>
    </row>
    <row r="308" spans="14:17" x14ac:dyDescent="0.55000000000000004">
      <c r="N308" s="103">
        <v>279</v>
      </c>
      <c r="O308" s="103">
        <v>4236.6231802174143</v>
      </c>
      <c r="P308" s="103">
        <v>14913.421184531298</v>
      </c>
      <c r="Q308" s="103">
        <v>9204.4968571003465</v>
      </c>
    </row>
    <row r="309" spans="14:17" x14ac:dyDescent="0.55000000000000004">
      <c r="N309" s="103">
        <v>280</v>
      </c>
      <c r="O309" s="103">
        <v>-1460.6623025661625</v>
      </c>
      <c r="P309" s="103">
        <v>14913.421184531298</v>
      </c>
      <c r="Q309" s="103">
        <v>9204.4968571003465</v>
      </c>
    </row>
    <row r="310" spans="14:17" x14ac:dyDescent="0.55000000000000004">
      <c r="N310" s="103">
        <v>281</v>
      </c>
      <c r="O310" s="103">
        <v>-1167.142550967938</v>
      </c>
      <c r="P310" s="103">
        <v>14913.421184531298</v>
      </c>
      <c r="Q310" s="103">
        <v>9204.4968571003465</v>
      </c>
    </row>
    <row r="311" spans="14:17" x14ac:dyDescent="0.55000000000000004">
      <c r="N311" s="103">
        <v>282</v>
      </c>
      <c r="O311" s="103">
        <v>-44368.530709440834</v>
      </c>
      <c r="P311" s="103">
        <v>14913.421184531298</v>
      </c>
      <c r="Q311" s="103">
        <v>9204.4968571003465</v>
      </c>
    </row>
    <row r="312" spans="14:17" x14ac:dyDescent="0.55000000000000004">
      <c r="N312" s="103">
        <v>283</v>
      </c>
      <c r="O312" s="103">
        <v>21856.810409656478</v>
      </c>
      <c r="P312" s="103">
        <v>14913.421184531298</v>
      </c>
      <c r="Q312" s="103">
        <v>9204.4968571003465</v>
      </c>
    </row>
    <row r="313" spans="14:17" x14ac:dyDescent="0.55000000000000004">
      <c r="N313" s="103">
        <v>284</v>
      </c>
      <c r="O313" s="103">
        <v>-1735.5384680706848</v>
      </c>
      <c r="P313" s="103">
        <v>14913.421184531298</v>
      </c>
      <c r="Q313" s="103">
        <v>9204.4968571003465</v>
      </c>
    </row>
    <row r="314" spans="14:17" x14ac:dyDescent="0.55000000000000004">
      <c r="N314" s="103">
        <v>285</v>
      </c>
      <c r="O314" s="103">
        <v>6547.3983748618375</v>
      </c>
      <c r="P314" s="103">
        <v>14913.421184531298</v>
      </c>
      <c r="Q314" s="103">
        <v>9204.4968571003465</v>
      </c>
    </row>
    <row r="315" spans="14:17" x14ac:dyDescent="0.55000000000000004">
      <c r="N315" s="103">
        <v>286</v>
      </c>
      <c r="O315" s="103">
        <v>18147.112619409065</v>
      </c>
      <c r="P315" s="103">
        <v>14913.421184531298</v>
      </c>
      <c r="Q315" s="103">
        <v>9204.4968571003465</v>
      </c>
    </row>
    <row r="316" spans="14:17" x14ac:dyDescent="0.55000000000000004">
      <c r="N316" s="103">
        <v>287</v>
      </c>
      <c r="O316" s="103">
        <v>12915.816256072747</v>
      </c>
      <c r="P316" s="103">
        <v>14913.421184531298</v>
      </c>
      <c r="Q316" s="103">
        <v>9204.4968571003465</v>
      </c>
    </row>
    <row r="317" spans="14:17" x14ac:dyDescent="0.55000000000000004">
      <c r="N317" s="103">
        <v>288</v>
      </c>
      <c r="O317" s="103">
        <v>-3666.6114973122253</v>
      </c>
      <c r="P317" s="103">
        <v>14913.421184531298</v>
      </c>
      <c r="Q317" s="103">
        <v>9204.4968571003465</v>
      </c>
    </row>
    <row r="318" spans="14:17" x14ac:dyDescent="0.55000000000000004">
      <c r="N318" s="103">
        <v>289</v>
      </c>
      <c r="O318" s="103">
        <v>6783.7246417231927</v>
      </c>
      <c r="P318" s="103">
        <v>14913.421184531298</v>
      </c>
      <c r="Q318" s="103">
        <v>9204.4968571003465</v>
      </c>
    </row>
    <row r="319" spans="14:17" x14ac:dyDescent="0.55000000000000004">
      <c r="N319" s="103">
        <v>290</v>
      </c>
      <c r="O319" s="103">
        <v>5050.4950426244632</v>
      </c>
      <c r="P319" s="103">
        <v>14913.421184531298</v>
      </c>
      <c r="Q319" s="103">
        <v>9204.4968571003465</v>
      </c>
    </row>
    <row r="320" spans="14:17" x14ac:dyDescent="0.55000000000000004">
      <c r="N320" s="103">
        <v>291</v>
      </c>
      <c r="O320" s="103">
        <v>10752.198544701718</v>
      </c>
      <c r="P320" s="103">
        <v>14913.421184531298</v>
      </c>
      <c r="Q320" s="103">
        <v>9204.4968571003465</v>
      </c>
    </row>
    <row r="321" spans="14:17" x14ac:dyDescent="0.55000000000000004">
      <c r="N321" s="103">
        <v>292</v>
      </c>
      <c r="O321" s="103">
        <v>-3201.6311567185448</v>
      </c>
      <c r="P321" s="103">
        <v>14913.421184531298</v>
      </c>
      <c r="Q321" s="103">
        <v>9204.4968571003465</v>
      </c>
    </row>
    <row r="322" spans="14:17" x14ac:dyDescent="0.55000000000000004">
      <c r="N322" s="103">
        <v>293</v>
      </c>
      <c r="O322" s="103">
        <v>3378.9313391038377</v>
      </c>
      <c r="P322" s="103">
        <v>14913.421184531298</v>
      </c>
      <c r="Q322" s="103">
        <v>9204.4968571003465</v>
      </c>
    </row>
    <row r="323" spans="14:17" x14ac:dyDescent="0.55000000000000004">
      <c r="N323" s="103">
        <v>294</v>
      </c>
      <c r="O323" s="103">
        <v>5515.7503171966691</v>
      </c>
      <c r="P323" s="103">
        <v>14913.421184531298</v>
      </c>
      <c r="Q323" s="103">
        <v>9204.4968571003465</v>
      </c>
    </row>
    <row r="324" spans="14:17" x14ac:dyDescent="0.55000000000000004">
      <c r="N324" s="103">
        <v>295</v>
      </c>
      <c r="O324" s="103">
        <v>7143.0666342242075</v>
      </c>
      <c r="P324" s="103">
        <v>14913.421184531298</v>
      </c>
      <c r="Q324" s="103">
        <v>9204.4968571003465</v>
      </c>
    </row>
    <row r="325" spans="14:17" x14ac:dyDescent="0.55000000000000004">
      <c r="N325" s="103">
        <v>296</v>
      </c>
      <c r="O325" s="103">
        <v>49187.299769342797</v>
      </c>
      <c r="P325" s="103">
        <v>14913.421184531298</v>
      </c>
      <c r="Q325" s="103">
        <v>9204.4968571003465</v>
      </c>
    </row>
    <row r="326" spans="14:17" x14ac:dyDescent="0.55000000000000004">
      <c r="N326" s="103">
        <v>297</v>
      </c>
      <c r="O326" s="103">
        <v>-5021.5613781202837</v>
      </c>
      <c r="P326" s="103">
        <v>14913.421184531298</v>
      </c>
      <c r="Q326" s="103">
        <v>9204.4968571003465</v>
      </c>
    </row>
    <row r="327" spans="14:17" x14ac:dyDescent="0.55000000000000004">
      <c r="N327" s="103">
        <v>298</v>
      </c>
      <c r="O327" s="103">
        <v>-32.406141948980803</v>
      </c>
      <c r="P327" s="103">
        <v>14913.421184531298</v>
      </c>
      <c r="Q327" s="103">
        <v>9204.4968571003465</v>
      </c>
    </row>
    <row r="328" spans="14:17" x14ac:dyDescent="0.55000000000000004">
      <c r="N328" s="103">
        <v>299</v>
      </c>
      <c r="O328" s="103">
        <v>-3834.6425668028996</v>
      </c>
      <c r="P328" s="103">
        <v>14913.421184531298</v>
      </c>
      <c r="Q328" s="103">
        <v>9204.4968571003465</v>
      </c>
    </row>
    <row r="329" spans="14:17" x14ac:dyDescent="0.55000000000000004">
      <c r="N329" s="103">
        <v>300</v>
      </c>
      <c r="O329" s="103">
        <v>-4917.1294306193686</v>
      </c>
      <c r="P329" s="103">
        <v>14913.421184531298</v>
      </c>
      <c r="Q329" s="103">
        <v>9204.4968571003465</v>
      </c>
    </row>
    <row r="330" spans="14:17" x14ac:dyDescent="0.55000000000000004">
      <c r="N330" s="103">
        <v>301</v>
      </c>
      <c r="O330" s="103">
        <v>-4610.6227856531323</v>
      </c>
      <c r="P330" s="103">
        <v>14913.421184531298</v>
      </c>
      <c r="Q330" s="103">
        <v>9204.4968571003465</v>
      </c>
    </row>
    <row r="331" spans="14:17" x14ac:dyDescent="0.55000000000000004">
      <c r="N331" s="103">
        <v>302</v>
      </c>
      <c r="O331" s="103">
        <v>-1089.3810217508026</v>
      </c>
      <c r="P331" s="103">
        <v>14913.421184531298</v>
      </c>
      <c r="Q331" s="103">
        <v>9204.4968571003465</v>
      </c>
    </row>
    <row r="332" spans="14:17" x14ac:dyDescent="0.55000000000000004">
      <c r="N332" s="103">
        <v>303</v>
      </c>
      <c r="O332" s="103">
        <v>6129.6848256851627</v>
      </c>
      <c r="P332" s="103">
        <v>14913.421184531298</v>
      </c>
      <c r="Q332" s="103">
        <v>9204.4968571003465</v>
      </c>
    </row>
    <row r="333" spans="14:17" x14ac:dyDescent="0.55000000000000004">
      <c r="N333" s="103">
        <v>304</v>
      </c>
      <c r="O333" s="103">
        <v>-33944.29260543378</v>
      </c>
      <c r="P333" s="103">
        <v>14913.421184531298</v>
      </c>
      <c r="Q333" s="103">
        <v>9204.4968571003465</v>
      </c>
    </row>
    <row r="334" spans="14:17" x14ac:dyDescent="0.55000000000000004">
      <c r="N334" s="103">
        <v>305</v>
      </c>
      <c r="O334" s="103">
        <v>6682.4013275743537</v>
      </c>
      <c r="P334" s="103">
        <v>14913.421184531298</v>
      </c>
      <c r="Q334" s="103">
        <v>9204.4968571003465</v>
      </c>
    </row>
    <row r="335" spans="14:17" x14ac:dyDescent="0.55000000000000004">
      <c r="N335" s="103">
        <v>306</v>
      </c>
      <c r="O335" s="103">
        <v>-453.31768601805561</v>
      </c>
      <c r="P335" s="103">
        <v>14913.421184531298</v>
      </c>
      <c r="Q335" s="103">
        <v>9204.4968571003465</v>
      </c>
    </row>
    <row r="336" spans="14:17" x14ac:dyDescent="0.55000000000000004">
      <c r="N336" s="103">
        <v>307</v>
      </c>
      <c r="O336" s="103">
        <v>5555.2471936029579</v>
      </c>
      <c r="P336" s="103">
        <v>14913.421184531298</v>
      </c>
      <c r="Q336" s="103">
        <v>9204.4968571003465</v>
      </c>
    </row>
    <row r="337" spans="14:17" x14ac:dyDescent="0.55000000000000004">
      <c r="N337" s="103">
        <v>308</v>
      </c>
      <c r="O337" s="103">
        <v>953.81304638340362</v>
      </c>
      <c r="P337" s="103">
        <v>14913.421184531298</v>
      </c>
      <c r="Q337" s="103">
        <v>9204.4968571003465</v>
      </c>
    </row>
    <row r="338" spans="14:17" x14ac:dyDescent="0.55000000000000004">
      <c r="N338" s="103">
        <v>309</v>
      </c>
      <c r="O338" s="103">
        <v>8830.4048059288289</v>
      </c>
      <c r="P338" s="103">
        <v>14913.421184531298</v>
      </c>
      <c r="Q338" s="103">
        <v>9204.4968571003465</v>
      </c>
    </row>
    <row r="339" spans="14:17" x14ac:dyDescent="0.55000000000000004">
      <c r="N339" s="103">
        <v>310</v>
      </c>
      <c r="O339" s="103">
        <v>5315.1276550444991</v>
      </c>
      <c r="P339" s="103">
        <v>14913.421184531298</v>
      </c>
      <c r="Q339" s="103">
        <v>9204.4968571003465</v>
      </c>
    </row>
    <row r="340" spans="14:17" x14ac:dyDescent="0.55000000000000004">
      <c r="N340" s="103">
        <v>311</v>
      </c>
      <c r="O340" s="103">
        <v>4271.0633534390918</v>
      </c>
      <c r="P340" s="103">
        <v>14913.421184531298</v>
      </c>
      <c r="Q340" s="103">
        <v>9204.4968571003465</v>
      </c>
    </row>
    <row r="341" spans="14:17" x14ac:dyDescent="0.55000000000000004">
      <c r="N341" s="103">
        <v>312</v>
      </c>
      <c r="O341" s="103">
        <v>20234.080361567409</v>
      </c>
      <c r="P341" s="103">
        <v>14913.421184531298</v>
      </c>
      <c r="Q341" s="103">
        <v>9204.4968571003465</v>
      </c>
    </row>
    <row r="342" spans="14:17" x14ac:dyDescent="0.55000000000000004">
      <c r="N342" s="103">
        <v>313</v>
      </c>
      <c r="O342" s="103">
        <v>3600.2933546840859</v>
      </c>
      <c r="P342" s="103">
        <v>14913.421184531298</v>
      </c>
      <c r="Q342" s="103">
        <v>9204.4968571003465</v>
      </c>
    </row>
    <row r="343" spans="14:17" x14ac:dyDescent="0.55000000000000004">
      <c r="N343" s="103">
        <v>314</v>
      </c>
      <c r="O343" s="103">
        <v>-6366.563727976084</v>
      </c>
      <c r="P343" s="103">
        <v>14913.421184531298</v>
      </c>
      <c r="Q343" s="103">
        <v>9204.4968571003465</v>
      </c>
    </row>
    <row r="344" spans="14:17" x14ac:dyDescent="0.55000000000000004">
      <c r="N344" s="103">
        <v>315</v>
      </c>
      <c r="O344" s="103">
        <v>3811.9860829423496</v>
      </c>
      <c r="P344" s="103">
        <v>14913.421184531298</v>
      </c>
      <c r="Q344" s="103">
        <v>9204.4968571003465</v>
      </c>
    </row>
    <row r="345" spans="14:17" x14ac:dyDescent="0.55000000000000004">
      <c r="N345" s="103">
        <v>316</v>
      </c>
      <c r="O345" s="103">
        <v>6118.5846253222771</v>
      </c>
      <c r="P345" s="103">
        <v>14913.421184531298</v>
      </c>
      <c r="Q345" s="103">
        <v>9204.4968571003465</v>
      </c>
    </row>
    <row r="346" spans="14:17" x14ac:dyDescent="0.55000000000000004">
      <c r="N346" s="103">
        <v>317</v>
      </c>
      <c r="O346" s="103">
        <v>-570062.44733094296</v>
      </c>
      <c r="P346" s="103">
        <v>14913.421184531298</v>
      </c>
      <c r="Q346" s="103">
        <v>9204.4968571003465</v>
      </c>
    </row>
    <row r="347" spans="14:17" x14ac:dyDescent="0.55000000000000004">
      <c r="N347" s="103">
        <v>318</v>
      </c>
      <c r="O347" s="103">
        <v>-16916.002022596902</v>
      </c>
      <c r="P347" s="103">
        <v>14913.421184531298</v>
      </c>
      <c r="Q347" s="103">
        <v>9204.4968571003465</v>
      </c>
    </row>
    <row r="348" spans="14:17" x14ac:dyDescent="0.55000000000000004">
      <c r="N348" s="103">
        <v>319</v>
      </c>
      <c r="O348" s="103">
        <v>7662.1306667798481</v>
      </c>
      <c r="P348" s="103">
        <v>14913.421184531298</v>
      </c>
      <c r="Q348" s="103">
        <v>9204.4968571003465</v>
      </c>
    </row>
    <row r="349" spans="14:17" x14ac:dyDescent="0.55000000000000004">
      <c r="N349" s="103">
        <v>320</v>
      </c>
      <c r="O349" s="103">
        <v>5818.4180214614717</v>
      </c>
      <c r="P349" s="103">
        <v>14913.421184531298</v>
      </c>
      <c r="Q349" s="103">
        <v>9204.4968571003465</v>
      </c>
    </row>
    <row r="350" spans="14:17" x14ac:dyDescent="0.55000000000000004">
      <c r="N350" s="103">
        <v>321</v>
      </c>
      <c r="O350" s="103">
        <v>15031.642782040693</v>
      </c>
      <c r="P350" s="103">
        <v>14913.421184531298</v>
      </c>
      <c r="Q350" s="103">
        <v>9204.4968571003465</v>
      </c>
    </row>
    <row r="351" spans="14:17" x14ac:dyDescent="0.55000000000000004">
      <c r="N351" s="103">
        <v>322</v>
      </c>
      <c r="O351" s="103">
        <v>-15360.592617723347</v>
      </c>
      <c r="P351" s="103">
        <v>14913.421184531298</v>
      </c>
      <c r="Q351" s="103">
        <v>9204.4968571003465</v>
      </c>
    </row>
    <row r="352" spans="14:17" x14ac:dyDescent="0.55000000000000004">
      <c r="N352" s="103">
        <v>323</v>
      </c>
      <c r="O352" s="103">
        <v>-24762.101948834716</v>
      </c>
      <c r="P352" s="103">
        <v>14913.421184531298</v>
      </c>
      <c r="Q352" s="103">
        <v>9204.4968571003465</v>
      </c>
    </row>
    <row r="353" spans="14:17" x14ac:dyDescent="0.55000000000000004">
      <c r="N353" s="103">
        <v>324</v>
      </c>
      <c r="O353" s="103">
        <v>-5642.3019163336521</v>
      </c>
      <c r="P353" s="103">
        <v>14913.421184531298</v>
      </c>
      <c r="Q353" s="103">
        <v>9204.4968571003465</v>
      </c>
    </row>
    <row r="354" spans="14:17" x14ac:dyDescent="0.55000000000000004">
      <c r="N354" s="103">
        <v>325</v>
      </c>
      <c r="O354" s="103">
        <v>221968.40771753894</v>
      </c>
      <c r="P354" s="103">
        <v>14913.421184531298</v>
      </c>
      <c r="Q354" s="103">
        <v>9204.4968571003465</v>
      </c>
    </row>
    <row r="355" spans="14:17" x14ac:dyDescent="0.55000000000000004">
      <c r="N355" s="103">
        <v>326</v>
      </c>
      <c r="O355" s="103">
        <v>-3660.5341177144805</v>
      </c>
      <c r="P355" s="103">
        <v>14913.421184531298</v>
      </c>
      <c r="Q355" s="103">
        <v>9204.4968571003465</v>
      </c>
    </row>
    <row r="356" spans="14:17" x14ac:dyDescent="0.55000000000000004">
      <c r="N356" s="103">
        <v>327</v>
      </c>
      <c r="O356" s="103">
        <v>3484.8134197780823</v>
      </c>
      <c r="P356" s="103">
        <v>14913.421184531298</v>
      </c>
      <c r="Q356" s="103">
        <v>9204.4968571003465</v>
      </c>
    </row>
    <row r="357" spans="14:17" x14ac:dyDescent="0.55000000000000004">
      <c r="N357" s="103">
        <v>328</v>
      </c>
      <c r="O357" s="103">
        <v>4961.6844136228146</v>
      </c>
      <c r="P357" s="103">
        <v>14913.421184531298</v>
      </c>
      <c r="Q357" s="103">
        <v>9204.4968571003465</v>
      </c>
    </row>
    <row r="358" spans="14:17" x14ac:dyDescent="0.55000000000000004">
      <c r="N358" s="103">
        <v>329</v>
      </c>
      <c r="O358" s="103">
        <v>8470.5764473165764</v>
      </c>
      <c r="P358" s="103">
        <v>14913.421184531298</v>
      </c>
      <c r="Q358" s="103">
        <v>9204.4968571003465</v>
      </c>
    </row>
    <row r="359" spans="14:17" x14ac:dyDescent="0.55000000000000004">
      <c r="N359" s="103">
        <v>330</v>
      </c>
      <c r="O359" s="103">
        <v>3836.3663578794949</v>
      </c>
      <c r="P359" s="103">
        <v>14913.421184531298</v>
      </c>
      <c r="Q359" s="103">
        <v>9204.4968571003465</v>
      </c>
    </row>
    <row r="360" spans="14:17" x14ac:dyDescent="0.55000000000000004">
      <c r="N360" s="103">
        <v>331</v>
      </c>
      <c r="O360" s="103">
        <v>-1927.7133685030803</v>
      </c>
      <c r="P360" s="103">
        <v>14913.421184531298</v>
      </c>
      <c r="Q360" s="103">
        <v>9204.4968571003465</v>
      </c>
    </row>
    <row r="361" spans="14:17" x14ac:dyDescent="0.55000000000000004">
      <c r="N361" s="103">
        <v>332</v>
      </c>
      <c r="O361" s="103">
        <v>-1571.0273534888529</v>
      </c>
      <c r="P361" s="103">
        <v>14913.421184531298</v>
      </c>
      <c r="Q361" s="103">
        <v>9204.4968571003465</v>
      </c>
    </row>
    <row r="362" spans="14:17" x14ac:dyDescent="0.55000000000000004">
      <c r="N362" s="103">
        <v>333</v>
      </c>
      <c r="O362" s="103">
        <v>-54427.009109643172</v>
      </c>
      <c r="P362" s="103">
        <v>14913.421184531298</v>
      </c>
      <c r="Q362" s="103">
        <v>9204.4968571003465</v>
      </c>
    </row>
    <row r="363" spans="14:17" x14ac:dyDescent="0.55000000000000004">
      <c r="N363" s="103">
        <v>334</v>
      </c>
      <c r="O363" s="103">
        <v>-13129.115914502185</v>
      </c>
      <c r="P363" s="103">
        <v>14913.421184531298</v>
      </c>
      <c r="Q363" s="103">
        <v>9204.4968571003465</v>
      </c>
    </row>
    <row r="364" spans="14:17" x14ac:dyDescent="0.55000000000000004">
      <c r="N364" s="103">
        <v>335</v>
      </c>
      <c r="O364" s="103">
        <v>-254369.50247164958</v>
      </c>
      <c r="P364" s="103">
        <v>14913.421184531298</v>
      </c>
      <c r="Q364" s="103">
        <v>9204.4968571003465</v>
      </c>
    </row>
    <row r="365" spans="14:17" x14ac:dyDescent="0.55000000000000004">
      <c r="N365" s="103">
        <v>336</v>
      </c>
      <c r="O365" s="103">
        <v>23259.537028101549</v>
      </c>
      <c r="P365" s="103">
        <v>14913.421184531298</v>
      </c>
      <c r="Q365" s="103">
        <v>9204.4968571003465</v>
      </c>
    </row>
    <row r="366" spans="14:17" x14ac:dyDescent="0.55000000000000004">
      <c r="N366" s="103">
        <v>337</v>
      </c>
      <c r="O366" s="103">
        <v>-4936.5237548817149</v>
      </c>
      <c r="P366" s="103">
        <v>14913.421184531298</v>
      </c>
      <c r="Q366" s="103">
        <v>9204.4968571003465</v>
      </c>
    </row>
    <row r="367" spans="14:17" x14ac:dyDescent="0.55000000000000004">
      <c r="N367" s="103">
        <v>338</v>
      </c>
      <c r="O367" s="103">
        <v>-9859.8992102673819</v>
      </c>
      <c r="P367" s="103">
        <v>14913.421184531298</v>
      </c>
      <c r="Q367" s="103">
        <v>9204.4968571003465</v>
      </c>
    </row>
    <row r="368" spans="14:17" x14ac:dyDescent="0.55000000000000004">
      <c r="N368" s="103">
        <v>339</v>
      </c>
      <c r="O368" s="103">
        <v>8644.3623705377431</v>
      </c>
      <c r="P368" s="103">
        <v>14913.421184531298</v>
      </c>
      <c r="Q368" s="103">
        <v>9204.4968571003465</v>
      </c>
    </row>
    <row r="369" spans="14:17" x14ac:dyDescent="0.55000000000000004">
      <c r="N369" s="103">
        <v>340</v>
      </c>
      <c r="O369" s="103">
        <v>-1833.7914831888256</v>
      </c>
      <c r="P369" s="103">
        <v>14913.421184531298</v>
      </c>
      <c r="Q369" s="103">
        <v>9204.4968571003465</v>
      </c>
    </row>
    <row r="370" spans="14:17" x14ac:dyDescent="0.55000000000000004">
      <c r="N370" s="103">
        <v>341</v>
      </c>
      <c r="O370" s="103">
        <v>17833.098922982215</v>
      </c>
      <c r="P370" s="103">
        <v>14913.421184531298</v>
      </c>
      <c r="Q370" s="103">
        <v>9204.4968571003465</v>
      </c>
    </row>
    <row r="371" spans="14:17" x14ac:dyDescent="0.55000000000000004">
      <c r="N371" s="103">
        <v>342</v>
      </c>
      <c r="O371" s="103">
        <v>-22020.783549106836</v>
      </c>
      <c r="P371" s="103">
        <v>14913.421184531298</v>
      </c>
      <c r="Q371" s="103">
        <v>9204.4968571003465</v>
      </c>
    </row>
    <row r="372" spans="14:17" x14ac:dyDescent="0.55000000000000004">
      <c r="N372" s="103">
        <v>343</v>
      </c>
      <c r="O372" s="103">
        <v>-873.79166102677482</v>
      </c>
      <c r="P372" s="103">
        <v>14913.421184531298</v>
      </c>
      <c r="Q372" s="103">
        <v>9204.4968571003465</v>
      </c>
    </row>
    <row r="373" spans="14:17" x14ac:dyDescent="0.55000000000000004">
      <c r="N373" s="103">
        <v>344</v>
      </c>
      <c r="O373" s="103">
        <v>-7736.2093092514287</v>
      </c>
      <c r="P373" s="103">
        <v>14913.421184531298</v>
      </c>
      <c r="Q373" s="103">
        <v>9204.4968571003465</v>
      </c>
    </row>
    <row r="374" spans="14:17" x14ac:dyDescent="0.55000000000000004">
      <c r="N374" s="103">
        <v>345</v>
      </c>
      <c r="O374" s="103">
        <v>-2034.2690832927492</v>
      </c>
      <c r="P374" s="103">
        <v>14913.421184531298</v>
      </c>
      <c r="Q374" s="103">
        <v>9204.4968571003465</v>
      </c>
    </row>
    <row r="375" spans="14:17" x14ac:dyDescent="0.55000000000000004">
      <c r="N375" s="103">
        <v>346</v>
      </c>
      <c r="O375" s="103">
        <v>-5150.997962812793</v>
      </c>
      <c r="P375" s="103">
        <v>14913.421184531298</v>
      </c>
      <c r="Q375" s="103">
        <v>9204.4968571003465</v>
      </c>
    </row>
    <row r="376" spans="14:17" x14ac:dyDescent="0.55000000000000004">
      <c r="N376" s="103">
        <v>347</v>
      </c>
      <c r="O376" s="103">
        <v>-2976.5584110686859</v>
      </c>
      <c r="P376" s="103">
        <v>14913.421184531298</v>
      </c>
      <c r="Q376" s="103">
        <v>9204.4968571003465</v>
      </c>
    </row>
    <row r="377" spans="14:17" x14ac:dyDescent="0.55000000000000004">
      <c r="N377" s="103">
        <v>348</v>
      </c>
      <c r="O377" s="103">
        <v>-3269.7742609182778</v>
      </c>
      <c r="P377" s="103">
        <v>14913.421184531298</v>
      </c>
      <c r="Q377" s="103">
        <v>9204.4968571003465</v>
      </c>
    </row>
    <row r="378" spans="14:17" x14ac:dyDescent="0.55000000000000004">
      <c r="N378" s="103">
        <v>349</v>
      </c>
      <c r="O378" s="103">
        <v>6788.468277010661</v>
      </c>
      <c r="P378" s="103">
        <v>14913.421184531298</v>
      </c>
      <c r="Q378" s="103">
        <v>9204.4968571003465</v>
      </c>
    </row>
    <row r="379" spans="14:17" x14ac:dyDescent="0.55000000000000004">
      <c r="N379" s="103">
        <v>350</v>
      </c>
      <c r="O379" s="103">
        <v>32893.976293712927</v>
      </c>
      <c r="P379" s="103">
        <v>14913.421184531298</v>
      </c>
      <c r="Q379" s="103">
        <v>9204.4968571003465</v>
      </c>
    </row>
    <row r="380" spans="14:17" x14ac:dyDescent="0.55000000000000004">
      <c r="N380" s="103">
        <v>351</v>
      </c>
      <c r="O380" s="103">
        <v>-7893.8280986370937</v>
      </c>
      <c r="P380" s="103">
        <v>14913.421184531298</v>
      </c>
      <c r="Q380" s="103">
        <v>9204.4968571003465</v>
      </c>
    </row>
    <row r="381" spans="14:17" x14ac:dyDescent="0.55000000000000004">
      <c r="N381" s="103">
        <v>352</v>
      </c>
      <c r="O381" s="103">
        <v>18111.081973351487</v>
      </c>
      <c r="P381" s="103">
        <v>14913.421184531298</v>
      </c>
      <c r="Q381" s="103">
        <v>9204.4968571003465</v>
      </c>
    </row>
    <row r="382" spans="14:17" x14ac:dyDescent="0.55000000000000004">
      <c r="N382" s="103">
        <v>353</v>
      </c>
      <c r="O382" s="103">
        <v>5893.3074120833408</v>
      </c>
      <c r="P382" s="103">
        <v>14913.421184531298</v>
      </c>
      <c r="Q382" s="103">
        <v>9204.4968571003465</v>
      </c>
    </row>
    <row r="383" spans="14:17" x14ac:dyDescent="0.55000000000000004">
      <c r="N383" s="103">
        <v>354</v>
      </c>
      <c r="O383" s="103">
        <v>-2697.1251545137739</v>
      </c>
      <c r="P383" s="103">
        <v>14913.421184531298</v>
      </c>
      <c r="Q383" s="103">
        <v>9204.4968571003465</v>
      </c>
    </row>
    <row r="384" spans="14:17" x14ac:dyDescent="0.55000000000000004">
      <c r="N384" s="103">
        <v>355</v>
      </c>
      <c r="O384" s="103">
        <v>9896.4096169974036</v>
      </c>
      <c r="P384" s="103">
        <v>14913.421184531298</v>
      </c>
      <c r="Q384" s="103">
        <v>9204.4968571003465</v>
      </c>
    </row>
    <row r="385" spans="14:17" x14ac:dyDescent="0.55000000000000004">
      <c r="N385" s="103">
        <v>356</v>
      </c>
      <c r="O385" s="103">
        <v>6674.3057752053755</v>
      </c>
      <c r="P385" s="103">
        <v>14913.421184531298</v>
      </c>
      <c r="Q385" s="103">
        <v>9204.4968571003465</v>
      </c>
    </row>
    <row r="386" spans="14:17" x14ac:dyDescent="0.55000000000000004">
      <c r="N386" s="103">
        <v>357</v>
      </c>
      <c r="O386" s="103">
        <v>-7619.7458351129044</v>
      </c>
      <c r="P386" s="103">
        <v>14913.421184531298</v>
      </c>
      <c r="Q386" s="103">
        <v>9204.4968571003465</v>
      </c>
    </row>
    <row r="387" spans="14:17" x14ac:dyDescent="0.55000000000000004">
      <c r="N387" s="103">
        <v>358</v>
      </c>
      <c r="O387" s="103">
        <v>11718.057351864289</v>
      </c>
      <c r="P387" s="103">
        <v>14913.421184531298</v>
      </c>
      <c r="Q387" s="103">
        <v>9204.4968571003465</v>
      </c>
    </row>
    <row r="388" spans="14:17" x14ac:dyDescent="0.55000000000000004">
      <c r="N388" s="103">
        <v>359</v>
      </c>
      <c r="O388" s="103">
        <v>7042.9055532175726</v>
      </c>
      <c r="P388" s="103">
        <v>14913.421184531298</v>
      </c>
      <c r="Q388" s="103">
        <v>9204.4968571003465</v>
      </c>
    </row>
    <row r="389" spans="14:17" x14ac:dyDescent="0.55000000000000004">
      <c r="N389" s="103">
        <v>360</v>
      </c>
      <c r="O389" s="103">
        <v>-5434.0046594480282</v>
      </c>
      <c r="P389" s="103">
        <v>14913.421184531298</v>
      </c>
      <c r="Q389" s="103">
        <v>9204.4968571003465</v>
      </c>
    </row>
    <row r="390" spans="14:17" x14ac:dyDescent="0.55000000000000004">
      <c r="N390" s="103">
        <v>361</v>
      </c>
      <c r="O390" s="103">
        <v>-637.65436906664672</v>
      </c>
      <c r="P390" s="103">
        <v>14913.421184531298</v>
      </c>
      <c r="Q390" s="103">
        <v>9204.4968571003465</v>
      </c>
    </row>
    <row r="391" spans="14:17" x14ac:dyDescent="0.55000000000000004">
      <c r="N391" s="103">
        <v>362</v>
      </c>
      <c r="O391" s="103">
        <v>32279.990775202605</v>
      </c>
      <c r="P391" s="103">
        <v>14913.421184531298</v>
      </c>
      <c r="Q391" s="103">
        <v>9204.4968571003465</v>
      </c>
    </row>
    <row r="392" spans="14:17" x14ac:dyDescent="0.55000000000000004">
      <c r="N392" s="103">
        <v>363</v>
      </c>
      <c r="O392" s="103">
        <v>-31208.530414740897</v>
      </c>
      <c r="P392" s="103">
        <v>14913.421184531298</v>
      </c>
      <c r="Q392" s="103">
        <v>9204.4968571003465</v>
      </c>
    </row>
    <row r="393" spans="14:17" x14ac:dyDescent="0.55000000000000004">
      <c r="N393" s="103">
        <v>364</v>
      </c>
      <c r="O393" s="103">
        <v>-7919.4393445064334</v>
      </c>
      <c r="P393" s="103">
        <v>14913.421184531298</v>
      </c>
      <c r="Q393" s="103">
        <v>9204.4968571003465</v>
      </c>
    </row>
    <row r="394" spans="14:17" x14ac:dyDescent="0.55000000000000004">
      <c r="N394" s="103">
        <v>365</v>
      </c>
      <c r="O394" s="103">
        <v>-11810.391624648993</v>
      </c>
      <c r="P394" s="103">
        <v>14913.421184531298</v>
      </c>
      <c r="Q394" s="103">
        <v>9204.4968571003465</v>
      </c>
    </row>
    <row r="395" spans="14:17" x14ac:dyDescent="0.55000000000000004">
      <c r="N395" s="103">
        <v>366</v>
      </c>
      <c r="O395" s="103">
        <v>691.47661255953608</v>
      </c>
      <c r="P395" s="103">
        <v>14913.421184531298</v>
      </c>
      <c r="Q395" s="103">
        <v>9204.4968571003465</v>
      </c>
    </row>
    <row r="396" spans="14:17" x14ac:dyDescent="0.55000000000000004">
      <c r="N396" s="103">
        <v>367</v>
      </c>
      <c r="O396" s="103">
        <v>510.4089334213877</v>
      </c>
      <c r="P396" s="103">
        <v>14913.421184531298</v>
      </c>
      <c r="Q396" s="103">
        <v>9204.4968571003465</v>
      </c>
    </row>
    <row r="397" spans="14:17" x14ac:dyDescent="0.55000000000000004">
      <c r="N397" s="103">
        <v>368</v>
      </c>
      <c r="O397" s="103">
        <v>-4877.9129345749916</v>
      </c>
      <c r="P397" s="103">
        <v>14913.421184531298</v>
      </c>
      <c r="Q397" s="103">
        <v>9204.4968571003465</v>
      </c>
    </row>
    <row r="398" spans="14:17" x14ac:dyDescent="0.55000000000000004">
      <c r="N398" s="103">
        <v>369</v>
      </c>
      <c r="O398" s="103">
        <v>-86.674919636589948</v>
      </c>
      <c r="P398" s="103">
        <v>14913.421184531298</v>
      </c>
      <c r="Q398" s="103">
        <v>9204.4968571003465</v>
      </c>
    </row>
    <row r="399" spans="14:17" x14ac:dyDescent="0.55000000000000004">
      <c r="N399" s="103">
        <v>370</v>
      </c>
      <c r="O399" s="103">
        <v>-3303.3615679290879</v>
      </c>
      <c r="P399" s="103">
        <v>14913.421184531298</v>
      </c>
      <c r="Q399" s="103">
        <v>9204.4968571003465</v>
      </c>
    </row>
    <row r="400" spans="14:17" x14ac:dyDescent="0.55000000000000004">
      <c r="N400" s="103">
        <v>371</v>
      </c>
      <c r="O400" s="103">
        <v>-6426.8422888471105</v>
      </c>
      <c r="P400" s="103">
        <v>14913.421184531298</v>
      </c>
      <c r="Q400" s="103">
        <v>9204.4968571003465</v>
      </c>
    </row>
    <row r="401" spans="14:17" x14ac:dyDescent="0.55000000000000004">
      <c r="N401" s="103">
        <v>372</v>
      </c>
      <c r="O401" s="103">
        <v>-380123.21008119482</v>
      </c>
      <c r="P401" s="103">
        <v>14913.421184531298</v>
      </c>
      <c r="Q401" s="103">
        <v>9204.4968571003465</v>
      </c>
    </row>
    <row r="402" spans="14:17" x14ac:dyDescent="0.55000000000000004">
      <c r="N402" s="103">
        <v>373</v>
      </c>
      <c r="O402" s="103">
        <v>9048.8962124901227</v>
      </c>
      <c r="P402" s="103">
        <v>14913.421184531298</v>
      </c>
      <c r="Q402" s="103">
        <v>9204.4968571003465</v>
      </c>
    </row>
    <row r="403" spans="14:17" x14ac:dyDescent="0.55000000000000004">
      <c r="N403" s="103">
        <v>374</v>
      </c>
      <c r="O403" s="103">
        <v>21382.773940896677</v>
      </c>
      <c r="P403" s="103">
        <v>14913.421184531298</v>
      </c>
      <c r="Q403" s="103">
        <v>9204.4968571003465</v>
      </c>
    </row>
    <row r="404" spans="14:17" x14ac:dyDescent="0.55000000000000004">
      <c r="N404" s="103">
        <v>375</v>
      </c>
      <c r="O404" s="103">
        <v>-1221.1648439953487</v>
      </c>
      <c r="P404" s="103">
        <v>14913.421184531298</v>
      </c>
      <c r="Q404" s="103">
        <v>9204.4968571003465</v>
      </c>
    </row>
    <row r="405" spans="14:17" x14ac:dyDescent="0.55000000000000004">
      <c r="N405" s="103">
        <v>376</v>
      </c>
      <c r="O405" s="103">
        <v>8608.2237262473282</v>
      </c>
      <c r="P405" s="103">
        <v>14913.421184531298</v>
      </c>
      <c r="Q405" s="103">
        <v>9204.4968571003465</v>
      </c>
    </row>
    <row r="406" spans="14:17" x14ac:dyDescent="0.55000000000000004">
      <c r="N406" s="103">
        <v>377</v>
      </c>
      <c r="O406" s="103">
        <v>-48659.970121197322</v>
      </c>
      <c r="P406" s="103">
        <v>14913.421184531298</v>
      </c>
      <c r="Q406" s="103">
        <v>9204.4968571003465</v>
      </c>
    </row>
    <row r="407" spans="14:17" x14ac:dyDescent="0.55000000000000004">
      <c r="N407" s="103">
        <v>378</v>
      </c>
      <c r="O407" s="103">
        <v>18485.355316180099</v>
      </c>
      <c r="P407" s="103">
        <v>14913.421184531298</v>
      </c>
      <c r="Q407" s="103">
        <v>9204.4968571003465</v>
      </c>
    </row>
    <row r="408" spans="14:17" x14ac:dyDescent="0.55000000000000004">
      <c r="N408" s="103">
        <v>379</v>
      </c>
      <c r="O408" s="103">
        <v>10962.342279847435</v>
      </c>
      <c r="P408" s="103">
        <v>14913.421184531298</v>
      </c>
      <c r="Q408" s="103">
        <v>9204.4968571003465</v>
      </c>
    </row>
    <row r="409" spans="14:17" x14ac:dyDescent="0.55000000000000004">
      <c r="N409" s="103">
        <v>380</v>
      </c>
      <c r="O409" s="103">
        <v>-1384360.221757934</v>
      </c>
      <c r="P409" s="103">
        <v>14913.421184531298</v>
      </c>
      <c r="Q409" s="103">
        <v>9204.4968571003465</v>
      </c>
    </row>
    <row r="410" spans="14:17" x14ac:dyDescent="0.55000000000000004">
      <c r="N410" s="103">
        <v>381</v>
      </c>
      <c r="O410" s="103">
        <v>701.65424531917643</v>
      </c>
      <c r="P410" s="103">
        <v>14913.421184531298</v>
      </c>
      <c r="Q410" s="103">
        <v>9204.4968571003465</v>
      </c>
    </row>
    <row r="411" spans="14:17" x14ac:dyDescent="0.55000000000000004">
      <c r="N411" s="103">
        <v>382</v>
      </c>
      <c r="O411" s="103">
        <v>5389.1614826653331</v>
      </c>
      <c r="P411" s="103">
        <v>14913.421184531298</v>
      </c>
      <c r="Q411" s="103">
        <v>9204.4968571003465</v>
      </c>
    </row>
    <row r="412" spans="14:17" x14ac:dyDescent="0.55000000000000004">
      <c r="N412" s="103">
        <v>383</v>
      </c>
      <c r="O412" s="103">
        <v>-1713.1129218430237</v>
      </c>
      <c r="P412" s="103">
        <v>14913.421184531298</v>
      </c>
      <c r="Q412" s="103">
        <v>9204.4968571003465</v>
      </c>
    </row>
    <row r="413" spans="14:17" x14ac:dyDescent="0.55000000000000004">
      <c r="N413" s="103">
        <v>384</v>
      </c>
      <c r="O413" s="103">
        <v>6657.1729814394403</v>
      </c>
      <c r="P413" s="103">
        <v>14913.421184531298</v>
      </c>
      <c r="Q413" s="103">
        <v>9204.4968571003465</v>
      </c>
    </row>
    <row r="414" spans="14:17" x14ac:dyDescent="0.55000000000000004">
      <c r="N414" s="103">
        <v>385</v>
      </c>
      <c r="O414" s="103">
        <v>-3295.3756306230425</v>
      </c>
      <c r="P414" s="103">
        <v>14913.421184531298</v>
      </c>
      <c r="Q414" s="103">
        <v>9204.4968571003465</v>
      </c>
    </row>
    <row r="415" spans="14:17" x14ac:dyDescent="0.55000000000000004">
      <c r="N415" s="103">
        <v>386</v>
      </c>
      <c r="O415" s="103">
        <v>5094.7109652139334</v>
      </c>
      <c r="P415" s="103">
        <v>14913.421184531298</v>
      </c>
      <c r="Q415" s="103">
        <v>9204.4968571003465</v>
      </c>
    </row>
    <row r="416" spans="14:17" x14ac:dyDescent="0.55000000000000004">
      <c r="N416" s="103">
        <v>387</v>
      </c>
      <c r="O416" s="103">
        <v>-5858.863336226862</v>
      </c>
      <c r="P416" s="103">
        <v>14913.421184531298</v>
      </c>
      <c r="Q416" s="103">
        <v>9204.4968571003465</v>
      </c>
    </row>
    <row r="417" spans="14:17" x14ac:dyDescent="0.55000000000000004">
      <c r="N417" s="103">
        <v>388</v>
      </c>
      <c r="O417" s="103">
        <v>16997.733607818038</v>
      </c>
      <c r="P417" s="103">
        <v>14913.421184531298</v>
      </c>
      <c r="Q417" s="103">
        <v>9204.4968571003465</v>
      </c>
    </row>
    <row r="418" spans="14:17" x14ac:dyDescent="0.55000000000000004">
      <c r="N418" s="103">
        <v>389</v>
      </c>
      <c r="O418" s="103">
        <v>-4144.7971971594989</v>
      </c>
      <c r="P418" s="103">
        <v>14913.421184531298</v>
      </c>
      <c r="Q418" s="103">
        <v>9204.4968571003465</v>
      </c>
    </row>
    <row r="419" spans="14:17" x14ac:dyDescent="0.55000000000000004">
      <c r="N419" s="103">
        <v>390</v>
      </c>
      <c r="O419" s="103">
        <v>8812.9300428525021</v>
      </c>
      <c r="P419" s="103">
        <v>14913.421184531298</v>
      </c>
      <c r="Q419" s="103">
        <v>9204.4968571003465</v>
      </c>
    </row>
    <row r="420" spans="14:17" x14ac:dyDescent="0.55000000000000004">
      <c r="N420" s="103">
        <v>391</v>
      </c>
      <c r="O420" s="103">
        <v>1326.6031465860169</v>
      </c>
      <c r="P420" s="103">
        <v>14913.421184531298</v>
      </c>
      <c r="Q420" s="103">
        <v>9204.4968571003465</v>
      </c>
    </row>
    <row r="421" spans="14:17" x14ac:dyDescent="0.55000000000000004">
      <c r="N421" s="103">
        <v>392</v>
      </c>
      <c r="O421" s="103">
        <v>-187985.48846423006</v>
      </c>
      <c r="P421" s="103">
        <v>14913.421184531298</v>
      </c>
      <c r="Q421" s="103">
        <v>9204.4968571003465</v>
      </c>
    </row>
    <row r="422" spans="14:17" x14ac:dyDescent="0.55000000000000004">
      <c r="N422" s="103">
        <v>393</v>
      </c>
      <c r="O422" s="103">
        <v>-32120.680510205479</v>
      </c>
      <c r="P422" s="103">
        <v>14913.421184531298</v>
      </c>
      <c r="Q422" s="103">
        <v>9204.4968571003465</v>
      </c>
    </row>
    <row r="423" spans="14:17" x14ac:dyDescent="0.55000000000000004">
      <c r="N423" s="103">
        <v>394</v>
      </c>
      <c r="O423" s="103">
        <v>4813.4677655246414</v>
      </c>
      <c r="P423" s="103">
        <v>14913.421184531298</v>
      </c>
      <c r="Q423" s="103">
        <v>9204.4968571003465</v>
      </c>
    </row>
    <row r="424" spans="14:17" x14ac:dyDescent="0.55000000000000004">
      <c r="N424" s="103">
        <v>395</v>
      </c>
      <c r="O424" s="103">
        <v>-3528.6462911163953</v>
      </c>
      <c r="P424" s="103">
        <v>14913.421184531298</v>
      </c>
      <c r="Q424" s="103">
        <v>9204.4968571003465</v>
      </c>
    </row>
    <row r="425" spans="14:17" x14ac:dyDescent="0.55000000000000004">
      <c r="N425" s="103">
        <v>396</v>
      </c>
      <c r="O425" s="103">
        <v>4744.0098452322727</v>
      </c>
      <c r="P425" s="103">
        <v>14913.421184531298</v>
      </c>
      <c r="Q425" s="103">
        <v>9204.4968571003465</v>
      </c>
    </row>
    <row r="426" spans="14:17" x14ac:dyDescent="0.55000000000000004">
      <c r="N426" s="103">
        <v>397</v>
      </c>
      <c r="O426" s="103">
        <v>8255.9416626325965</v>
      </c>
      <c r="P426" s="103">
        <v>14913.421184531298</v>
      </c>
      <c r="Q426" s="103">
        <v>9204.4968571003465</v>
      </c>
    </row>
    <row r="427" spans="14:17" x14ac:dyDescent="0.55000000000000004">
      <c r="N427" s="103">
        <v>398</v>
      </c>
      <c r="O427" s="103">
        <v>-482099.75917244586</v>
      </c>
      <c r="P427" s="103">
        <v>14913.421184531298</v>
      </c>
      <c r="Q427" s="103">
        <v>9204.4968571003465</v>
      </c>
    </row>
    <row r="428" spans="14:17" x14ac:dyDescent="0.55000000000000004">
      <c r="N428" s="103">
        <v>399</v>
      </c>
      <c r="O428" s="103">
        <v>6839.0251680931869</v>
      </c>
      <c r="P428" s="103">
        <v>14913.421184531298</v>
      </c>
      <c r="Q428" s="103">
        <v>9204.4968571003465</v>
      </c>
    </row>
    <row r="429" spans="14:17" x14ac:dyDescent="0.55000000000000004">
      <c r="N429" s="103">
        <v>400</v>
      </c>
      <c r="O429" s="103">
        <v>11343.391230569845</v>
      </c>
      <c r="P429" s="103">
        <v>14913.421184531298</v>
      </c>
      <c r="Q429" s="103">
        <v>9204.4968571003465</v>
      </c>
    </row>
    <row r="430" spans="14:17" x14ac:dyDescent="0.55000000000000004">
      <c r="N430" s="103">
        <v>401</v>
      </c>
      <c r="O430" s="103">
        <v>-17085.229151214044</v>
      </c>
      <c r="P430" s="103">
        <v>14913.421184531298</v>
      </c>
      <c r="Q430" s="103">
        <v>9204.4968571003465</v>
      </c>
    </row>
    <row r="431" spans="14:17" x14ac:dyDescent="0.55000000000000004">
      <c r="N431" s="103">
        <v>402</v>
      </c>
      <c r="O431" s="103">
        <v>-6408.3878186538077</v>
      </c>
      <c r="P431" s="103">
        <v>14913.421184531298</v>
      </c>
      <c r="Q431" s="103">
        <v>9204.4968571003465</v>
      </c>
    </row>
    <row r="432" spans="14:17" x14ac:dyDescent="0.55000000000000004">
      <c r="N432" s="103">
        <v>403</v>
      </c>
      <c r="O432" s="103">
        <v>10301.666962470295</v>
      </c>
      <c r="P432" s="103">
        <v>14913.421184531298</v>
      </c>
      <c r="Q432" s="103">
        <v>9204.4968571003465</v>
      </c>
    </row>
    <row r="433" spans="14:17" x14ac:dyDescent="0.55000000000000004">
      <c r="N433" s="103">
        <v>404</v>
      </c>
      <c r="O433" s="103">
        <v>-1697.250237017256</v>
      </c>
      <c r="P433" s="103">
        <v>14913.421184531298</v>
      </c>
      <c r="Q433" s="103">
        <v>9204.4968571003465</v>
      </c>
    </row>
    <row r="434" spans="14:17" x14ac:dyDescent="0.55000000000000004">
      <c r="N434" s="103">
        <v>405</v>
      </c>
      <c r="O434" s="103">
        <v>8080.8035442909568</v>
      </c>
      <c r="P434" s="103">
        <v>14913.421184531298</v>
      </c>
      <c r="Q434" s="103">
        <v>9204.4968571003465</v>
      </c>
    </row>
    <row r="435" spans="14:17" x14ac:dyDescent="0.55000000000000004">
      <c r="N435" s="103">
        <v>406</v>
      </c>
      <c r="O435" s="103">
        <v>11232.034515508789</v>
      </c>
      <c r="P435" s="103">
        <v>14913.421184531298</v>
      </c>
      <c r="Q435" s="103">
        <v>9204.4968571003465</v>
      </c>
    </row>
    <row r="436" spans="14:17" x14ac:dyDescent="0.55000000000000004">
      <c r="N436" s="103">
        <v>407</v>
      </c>
      <c r="O436" s="103">
        <v>6248.6692356693966</v>
      </c>
      <c r="P436" s="103">
        <v>14913.421184531298</v>
      </c>
      <c r="Q436" s="103">
        <v>9204.4968571003465</v>
      </c>
    </row>
    <row r="437" spans="14:17" x14ac:dyDescent="0.55000000000000004">
      <c r="N437" s="103">
        <v>408</v>
      </c>
      <c r="O437" s="103">
        <v>-3194.8633771267578</v>
      </c>
      <c r="P437" s="103">
        <v>14913.421184531298</v>
      </c>
      <c r="Q437" s="103">
        <v>9204.4968571003465</v>
      </c>
    </row>
    <row r="438" spans="14:17" x14ac:dyDescent="0.55000000000000004">
      <c r="N438" s="103">
        <v>409</v>
      </c>
      <c r="O438" s="103">
        <v>7743.7264319907408</v>
      </c>
      <c r="P438" s="103">
        <v>14913.421184531298</v>
      </c>
      <c r="Q438" s="103">
        <v>9204.4968571003465</v>
      </c>
    </row>
    <row r="439" spans="14:17" x14ac:dyDescent="0.55000000000000004">
      <c r="N439" s="103">
        <v>410</v>
      </c>
      <c r="O439" s="103">
        <v>5258.7849692314012</v>
      </c>
      <c r="P439" s="103">
        <v>14913.421184531298</v>
      </c>
      <c r="Q439" s="103">
        <v>9204.4968571003465</v>
      </c>
    </row>
    <row r="440" spans="14:17" x14ac:dyDescent="0.55000000000000004">
      <c r="N440" s="103">
        <v>411</v>
      </c>
      <c r="O440" s="103">
        <v>18043.042850769176</v>
      </c>
      <c r="P440" s="103">
        <v>14913.421184531298</v>
      </c>
      <c r="Q440" s="103">
        <v>9204.4968571003465</v>
      </c>
    </row>
    <row r="441" spans="14:17" x14ac:dyDescent="0.55000000000000004">
      <c r="N441" s="103">
        <v>412</v>
      </c>
      <c r="O441" s="103">
        <v>-4864.9948393220766</v>
      </c>
      <c r="P441" s="103">
        <v>14913.421184531298</v>
      </c>
      <c r="Q441" s="103">
        <v>9204.4968571003465</v>
      </c>
    </row>
    <row r="442" spans="14:17" x14ac:dyDescent="0.55000000000000004">
      <c r="N442" s="103">
        <v>413</v>
      </c>
      <c r="O442" s="103">
        <v>8377.335750354925</v>
      </c>
      <c r="P442" s="103">
        <v>14913.421184531298</v>
      </c>
      <c r="Q442" s="103">
        <v>9204.4968571003465</v>
      </c>
    </row>
    <row r="443" spans="14:17" x14ac:dyDescent="0.55000000000000004">
      <c r="N443" s="103">
        <v>414</v>
      </c>
      <c r="O443" s="103">
        <v>14.495060850651953</v>
      </c>
      <c r="P443" s="103">
        <v>14913.421184531298</v>
      </c>
      <c r="Q443" s="103">
        <v>9204.4968571003465</v>
      </c>
    </row>
    <row r="444" spans="14:17" x14ac:dyDescent="0.55000000000000004">
      <c r="N444" s="103">
        <v>415</v>
      </c>
      <c r="O444" s="103">
        <v>-11846.000434744285</v>
      </c>
      <c r="P444" s="103">
        <v>14913.421184531298</v>
      </c>
      <c r="Q444" s="103">
        <v>9204.4968571003465</v>
      </c>
    </row>
    <row r="445" spans="14:17" x14ac:dyDescent="0.55000000000000004">
      <c r="N445" s="103">
        <v>416</v>
      </c>
      <c r="O445" s="103">
        <v>7886.789328287995</v>
      </c>
      <c r="P445" s="103">
        <v>14913.421184531298</v>
      </c>
      <c r="Q445" s="103">
        <v>9204.4968571003465</v>
      </c>
    </row>
    <row r="446" spans="14:17" x14ac:dyDescent="0.55000000000000004">
      <c r="N446" s="103">
        <v>417</v>
      </c>
      <c r="O446" s="103">
        <v>-1967.3990570229885</v>
      </c>
      <c r="P446" s="103">
        <v>14913.421184531298</v>
      </c>
      <c r="Q446" s="103">
        <v>9204.4968571003465</v>
      </c>
    </row>
    <row r="447" spans="14:17" x14ac:dyDescent="0.55000000000000004">
      <c r="N447" s="103">
        <v>418</v>
      </c>
      <c r="O447" s="103">
        <v>8576.1639328326764</v>
      </c>
      <c r="P447" s="103">
        <v>14913.421184531298</v>
      </c>
      <c r="Q447" s="103">
        <v>9204.4968571003465</v>
      </c>
    </row>
    <row r="448" spans="14:17" x14ac:dyDescent="0.55000000000000004">
      <c r="N448" s="103">
        <v>419</v>
      </c>
      <c r="O448" s="103">
        <v>859.33352088568836</v>
      </c>
      <c r="P448" s="103">
        <v>14913.421184531298</v>
      </c>
      <c r="Q448" s="103">
        <v>9204.4968571003465</v>
      </c>
    </row>
    <row r="449" spans="14:17" x14ac:dyDescent="0.55000000000000004">
      <c r="N449" s="103">
        <v>420</v>
      </c>
      <c r="O449" s="103">
        <v>-7092.9438749316532</v>
      </c>
      <c r="P449" s="103">
        <v>14913.421184531298</v>
      </c>
      <c r="Q449" s="103">
        <v>9204.4968571003465</v>
      </c>
    </row>
    <row r="450" spans="14:17" x14ac:dyDescent="0.55000000000000004">
      <c r="N450" s="103">
        <v>421</v>
      </c>
      <c r="O450" s="103">
        <v>22118.115158923632</v>
      </c>
      <c r="P450" s="103">
        <v>14913.421184531298</v>
      </c>
      <c r="Q450" s="103">
        <v>9204.4968571003465</v>
      </c>
    </row>
    <row r="451" spans="14:17" x14ac:dyDescent="0.55000000000000004">
      <c r="N451" s="103">
        <v>422</v>
      </c>
      <c r="O451" s="103">
        <v>9974.2026525160109</v>
      </c>
      <c r="P451" s="103">
        <v>14913.421184531298</v>
      </c>
      <c r="Q451" s="103">
        <v>9204.4968571003465</v>
      </c>
    </row>
    <row r="452" spans="14:17" x14ac:dyDescent="0.55000000000000004">
      <c r="N452" s="103">
        <v>423</v>
      </c>
      <c r="O452" s="103">
        <v>63286.351346687712</v>
      </c>
      <c r="P452" s="103">
        <v>14913.421184531298</v>
      </c>
      <c r="Q452" s="103">
        <v>9204.4968571003465</v>
      </c>
    </row>
    <row r="453" spans="14:17" x14ac:dyDescent="0.55000000000000004">
      <c r="N453" s="103">
        <v>424</v>
      </c>
      <c r="O453" s="103">
        <v>-6669.9656119024867</v>
      </c>
      <c r="P453" s="103">
        <v>14913.421184531298</v>
      </c>
      <c r="Q453" s="103">
        <v>9204.4968571003465</v>
      </c>
    </row>
    <row r="454" spans="14:17" x14ac:dyDescent="0.55000000000000004">
      <c r="N454" s="103">
        <v>425</v>
      </c>
      <c r="O454" s="103">
        <v>7606.7170659385301</v>
      </c>
      <c r="P454" s="103">
        <v>14913.421184531298</v>
      </c>
      <c r="Q454" s="103">
        <v>9204.4968571003465</v>
      </c>
    </row>
    <row r="455" spans="14:17" x14ac:dyDescent="0.55000000000000004">
      <c r="N455" s="103">
        <v>426</v>
      </c>
      <c r="O455" s="103">
        <v>4034.9159844727433</v>
      </c>
      <c r="P455" s="103">
        <v>14913.421184531298</v>
      </c>
      <c r="Q455" s="103">
        <v>9204.4968571003465</v>
      </c>
    </row>
    <row r="456" spans="14:17" x14ac:dyDescent="0.55000000000000004">
      <c r="N456" s="103">
        <v>427</v>
      </c>
      <c r="O456" s="103">
        <v>37721.478935229999</v>
      </c>
      <c r="P456" s="103">
        <v>14913.421184531298</v>
      </c>
      <c r="Q456" s="103">
        <v>9204.4968571003465</v>
      </c>
    </row>
    <row r="457" spans="14:17" x14ac:dyDescent="0.55000000000000004">
      <c r="N457" s="103">
        <v>428</v>
      </c>
      <c r="O457" s="103">
        <v>-8089.2168551599552</v>
      </c>
      <c r="P457" s="103">
        <v>14913.421184531298</v>
      </c>
      <c r="Q457" s="103">
        <v>9204.4968571003465</v>
      </c>
    </row>
    <row r="458" spans="14:17" x14ac:dyDescent="0.55000000000000004">
      <c r="N458" s="103">
        <v>429</v>
      </c>
      <c r="O458" s="103">
        <v>-25322.857838322863</v>
      </c>
      <c r="P458" s="103">
        <v>14913.421184531298</v>
      </c>
      <c r="Q458" s="103">
        <v>9204.4968571003465</v>
      </c>
    </row>
    <row r="459" spans="14:17" x14ac:dyDescent="0.55000000000000004">
      <c r="N459" s="103">
        <v>430</v>
      </c>
      <c r="O459" s="103">
        <v>-58368.667493782981</v>
      </c>
      <c r="P459" s="103">
        <v>14913.421184531298</v>
      </c>
      <c r="Q459" s="103">
        <v>9204.4968571003465</v>
      </c>
    </row>
    <row r="460" spans="14:17" x14ac:dyDescent="0.55000000000000004">
      <c r="N460" s="103">
        <v>431</v>
      </c>
      <c r="O460" s="103">
        <v>13744.614703152842</v>
      </c>
      <c r="P460" s="103">
        <v>14913.421184531298</v>
      </c>
      <c r="Q460" s="103">
        <v>9204.4968571003465</v>
      </c>
    </row>
    <row r="461" spans="14:17" x14ac:dyDescent="0.55000000000000004">
      <c r="N461" s="103">
        <v>432</v>
      </c>
      <c r="O461" s="103">
        <v>-505.5392787802989</v>
      </c>
      <c r="P461" s="103">
        <v>14913.421184531298</v>
      </c>
      <c r="Q461" s="103">
        <v>9204.4968571003465</v>
      </c>
    </row>
    <row r="462" spans="14:17" x14ac:dyDescent="0.55000000000000004">
      <c r="N462" s="103">
        <v>433</v>
      </c>
      <c r="O462" s="103">
        <v>-3201.6830126131576</v>
      </c>
      <c r="P462" s="103">
        <v>14913.421184531298</v>
      </c>
      <c r="Q462" s="103">
        <v>9204.4968571003465</v>
      </c>
    </row>
    <row r="463" spans="14:17" x14ac:dyDescent="0.55000000000000004">
      <c r="N463" s="103">
        <v>434</v>
      </c>
      <c r="O463" s="103">
        <v>8735.3309892648886</v>
      </c>
      <c r="P463" s="103">
        <v>14913.421184531298</v>
      </c>
      <c r="Q463" s="103">
        <v>9204.4968571003465</v>
      </c>
    </row>
    <row r="464" spans="14:17" x14ac:dyDescent="0.55000000000000004">
      <c r="N464" s="103">
        <v>435</v>
      </c>
      <c r="O464" s="103">
        <v>4029.7510973512494</v>
      </c>
      <c r="P464" s="103">
        <v>14913.421184531298</v>
      </c>
      <c r="Q464" s="103">
        <v>9204.4968571003465</v>
      </c>
    </row>
    <row r="465" spans="14:17" x14ac:dyDescent="0.55000000000000004">
      <c r="N465" s="103">
        <v>436</v>
      </c>
      <c r="O465" s="103">
        <v>8110.3405949651305</v>
      </c>
      <c r="P465" s="103">
        <v>14913.421184531298</v>
      </c>
      <c r="Q465" s="103">
        <v>9204.4968571003465</v>
      </c>
    </row>
    <row r="466" spans="14:17" x14ac:dyDescent="0.55000000000000004">
      <c r="N466" s="103">
        <v>437</v>
      </c>
      <c r="O466" s="103">
        <v>20259.847125588782</v>
      </c>
      <c r="P466" s="103">
        <v>14913.421184531298</v>
      </c>
      <c r="Q466" s="103">
        <v>9204.4968571003465</v>
      </c>
    </row>
    <row r="467" spans="14:17" x14ac:dyDescent="0.55000000000000004">
      <c r="N467" s="103">
        <v>438</v>
      </c>
      <c r="O467" s="103">
        <v>-250.63274072906233</v>
      </c>
      <c r="P467" s="103">
        <v>14913.421184531298</v>
      </c>
      <c r="Q467" s="103">
        <v>9204.4968571003465</v>
      </c>
    </row>
    <row r="468" spans="14:17" x14ac:dyDescent="0.55000000000000004">
      <c r="N468" s="103">
        <v>439</v>
      </c>
      <c r="O468" s="103">
        <v>4605.7072850250706</v>
      </c>
      <c r="P468" s="103">
        <v>14913.421184531298</v>
      </c>
      <c r="Q468" s="103">
        <v>9204.4968571003465</v>
      </c>
    </row>
    <row r="469" spans="14:17" x14ac:dyDescent="0.55000000000000004">
      <c r="N469" s="103">
        <v>440</v>
      </c>
      <c r="O469" s="103">
        <v>6728.344514597271</v>
      </c>
      <c r="P469" s="103">
        <v>14913.421184531298</v>
      </c>
      <c r="Q469" s="103">
        <v>9204.4968571003465</v>
      </c>
    </row>
    <row r="470" spans="14:17" x14ac:dyDescent="0.55000000000000004">
      <c r="N470" s="103">
        <v>441</v>
      </c>
      <c r="O470" s="103">
        <v>19794.246320165737</v>
      </c>
      <c r="P470" s="103">
        <v>14913.421184531298</v>
      </c>
      <c r="Q470" s="103">
        <v>9204.4968571003465</v>
      </c>
    </row>
    <row r="471" spans="14:17" x14ac:dyDescent="0.55000000000000004">
      <c r="N471" s="103">
        <v>442</v>
      </c>
      <c r="O471" s="103">
        <v>7303.1804560501787</v>
      </c>
      <c r="P471" s="103">
        <v>14913.421184531298</v>
      </c>
      <c r="Q471" s="103">
        <v>9204.4968571003465</v>
      </c>
    </row>
    <row r="472" spans="14:17" x14ac:dyDescent="0.55000000000000004">
      <c r="N472" s="103">
        <v>443</v>
      </c>
      <c r="O472" s="103">
        <v>7858.9464382394526</v>
      </c>
      <c r="P472" s="103">
        <v>14913.421184531298</v>
      </c>
      <c r="Q472" s="103">
        <v>9204.4968571003465</v>
      </c>
    </row>
    <row r="473" spans="14:17" x14ac:dyDescent="0.55000000000000004">
      <c r="N473" s="103">
        <v>444</v>
      </c>
      <c r="O473" s="103">
        <v>19725.798724908771</v>
      </c>
      <c r="P473" s="103">
        <v>14913.421184531298</v>
      </c>
      <c r="Q473" s="103">
        <v>9204.4968571003465</v>
      </c>
    </row>
    <row r="474" spans="14:17" x14ac:dyDescent="0.55000000000000004">
      <c r="N474" s="103">
        <v>445</v>
      </c>
      <c r="O474" s="103">
        <v>-5323.9932551170914</v>
      </c>
      <c r="P474" s="103">
        <v>14913.421184531298</v>
      </c>
      <c r="Q474" s="103">
        <v>9204.4968571003465</v>
      </c>
    </row>
    <row r="475" spans="14:17" x14ac:dyDescent="0.55000000000000004">
      <c r="N475" s="103">
        <v>446</v>
      </c>
      <c r="O475" s="103">
        <v>5328.0282876776009</v>
      </c>
      <c r="P475" s="103">
        <v>14913.421184531298</v>
      </c>
      <c r="Q475" s="103">
        <v>9204.4968571003465</v>
      </c>
    </row>
    <row r="476" spans="14:17" x14ac:dyDescent="0.55000000000000004">
      <c r="N476" s="103">
        <v>447</v>
      </c>
      <c r="O476" s="103">
        <v>-766627.54936148867</v>
      </c>
      <c r="P476" s="103">
        <v>14913.421184531298</v>
      </c>
      <c r="Q476" s="103">
        <v>9204.4968571003465</v>
      </c>
    </row>
    <row r="477" spans="14:17" x14ac:dyDescent="0.55000000000000004">
      <c r="N477" s="103">
        <v>448</v>
      </c>
      <c r="O477" s="103">
        <v>8013.2816478382538</v>
      </c>
      <c r="P477" s="103">
        <v>14913.421184531298</v>
      </c>
      <c r="Q477" s="103">
        <v>9204.4968571003465</v>
      </c>
    </row>
    <row r="478" spans="14:17" x14ac:dyDescent="0.55000000000000004">
      <c r="N478" s="103">
        <v>449</v>
      </c>
      <c r="O478" s="103">
        <v>-355.01627976623877</v>
      </c>
      <c r="P478" s="103">
        <v>14913.421184531298</v>
      </c>
      <c r="Q478" s="103">
        <v>9204.4968571003465</v>
      </c>
    </row>
    <row r="479" spans="14:17" x14ac:dyDescent="0.55000000000000004">
      <c r="N479" s="103">
        <v>450</v>
      </c>
      <c r="O479" s="103">
        <v>14383.581383370716</v>
      </c>
      <c r="P479" s="103">
        <v>14913.421184531298</v>
      </c>
      <c r="Q479" s="103">
        <v>9204.4968571003465</v>
      </c>
    </row>
    <row r="480" spans="14:17" x14ac:dyDescent="0.55000000000000004">
      <c r="N480" s="103">
        <v>451</v>
      </c>
      <c r="O480" s="103">
        <v>5411.9650826199995</v>
      </c>
      <c r="P480" s="103">
        <v>14913.421184531298</v>
      </c>
      <c r="Q480" s="103">
        <v>9204.4968571003465</v>
      </c>
    </row>
    <row r="481" spans="14:17" x14ac:dyDescent="0.55000000000000004">
      <c r="N481" s="103">
        <v>452</v>
      </c>
      <c r="O481" s="103">
        <v>13325.750295082162</v>
      </c>
      <c r="P481" s="103">
        <v>14913.421184531298</v>
      </c>
      <c r="Q481" s="103">
        <v>9204.4968571003465</v>
      </c>
    </row>
    <row r="482" spans="14:17" x14ac:dyDescent="0.55000000000000004">
      <c r="N482" s="103">
        <v>453</v>
      </c>
      <c r="O482" s="103">
        <v>14656.87207227945</v>
      </c>
      <c r="P482" s="103">
        <v>14913.421184531298</v>
      </c>
      <c r="Q482" s="103">
        <v>9204.4968571003465</v>
      </c>
    </row>
    <row r="483" spans="14:17" x14ac:dyDescent="0.55000000000000004">
      <c r="N483" s="103">
        <v>454</v>
      </c>
      <c r="O483" s="103">
        <v>4998.6773276581807</v>
      </c>
      <c r="P483" s="103">
        <v>14913.421184531298</v>
      </c>
      <c r="Q483" s="103">
        <v>9204.4968571003465</v>
      </c>
    </row>
    <row r="484" spans="14:17" x14ac:dyDescent="0.55000000000000004">
      <c r="N484" s="103">
        <v>455</v>
      </c>
      <c r="O484" s="103">
        <v>24920.148840110574</v>
      </c>
      <c r="P484" s="103">
        <v>14913.421184531298</v>
      </c>
      <c r="Q484" s="103">
        <v>9204.4968571003465</v>
      </c>
    </row>
    <row r="485" spans="14:17" x14ac:dyDescent="0.55000000000000004">
      <c r="N485" s="103">
        <v>456</v>
      </c>
      <c r="O485" s="103">
        <v>5014.7974598426163</v>
      </c>
      <c r="P485" s="103">
        <v>14913.421184531298</v>
      </c>
      <c r="Q485" s="103">
        <v>9204.4968571003465</v>
      </c>
    </row>
    <row r="486" spans="14:17" x14ac:dyDescent="0.55000000000000004">
      <c r="N486" s="103">
        <v>457</v>
      </c>
      <c r="O486" s="103">
        <v>145725.78713931172</v>
      </c>
      <c r="P486" s="103">
        <v>14913.421184531298</v>
      </c>
      <c r="Q486" s="103">
        <v>9204.4968571003465</v>
      </c>
    </row>
    <row r="487" spans="14:17" x14ac:dyDescent="0.55000000000000004">
      <c r="N487" s="103">
        <v>458</v>
      </c>
      <c r="O487" s="103">
        <v>-2235.3786260983557</v>
      </c>
      <c r="P487" s="103">
        <v>14913.421184531298</v>
      </c>
      <c r="Q487" s="103">
        <v>9204.4968571003465</v>
      </c>
    </row>
    <row r="488" spans="14:17" x14ac:dyDescent="0.55000000000000004">
      <c r="N488" s="103">
        <v>459</v>
      </c>
      <c r="O488" s="103">
        <v>-19088.135841618037</v>
      </c>
      <c r="P488" s="103">
        <v>14913.421184531298</v>
      </c>
      <c r="Q488" s="103">
        <v>9204.4968571003465</v>
      </c>
    </row>
    <row r="489" spans="14:17" x14ac:dyDescent="0.55000000000000004">
      <c r="N489" s="103">
        <v>460</v>
      </c>
      <c r="O489" s="103">
        <v>11531.008210887465</v>
      </c>
      <c r="P489" s="103">
        <v>14913.421184531298</v>
      </c>
      <c r="Q489" s="103">
        <v>9204.4968571003465</v>
      </c>
    </row>
    <row r="490" spans="14:17" x14ac:dyDescent="0.55000000000000004">
      <c r="N490" s="103">
        <v>461</v>
      </c>
      <c r="O490" s="103">
        <v>-5108.1942115579941</v>
      </c>
      <c r="P490" s="103">
        <v>14913.421184531298</v>
      </c>
      <c r="Q490" s="103">
        <v>9204.4968571003465</v>
      </c>
    </row>
    <row r="491" spans="14:17" x14ac:dyDescent="0.55000000000000004">
      <c r="N491" s="103">
        <v>462</v>
      </c>
      <c r="O491" s="103">
        <v>9230.4469538854628</v>
      </c>
      <c r="P491" s="103">
        <v>14913.421184531298</v>
      </c>
      <c r="Q491" s="103">
        <v>9204.4968571003465</v>
      </c>
    </row>
    <row r="492" spans="14:17" x14ac:dyDescent="0.55000000000000004">
      <c r="N492" s="103">
        <v>463</v>
      </c>
      <c r="O492" s="103">
        <v>-37649.919705885215</v>
      </c>
      <c r="P492" s="103">
        <v>14913.421184531298</v>
      </c>
      <c r="Q492" s="103">
        <v>9204.4968571003465</v>
      </c>
    </row>
    <row r="493" spans="14:17" x14ac:dyDescent="0.55000000000000004">
      <c r="N493" s="103">
        <v>464</v>
      </c>
      <c r="O493" s="103">
        <v>3221.2382303218533</v>
      </c>
      <c r="P493" s="103">
        <v>14913.421184531298</v>
      </c>
      <c r="Q493" s="103">
        <v>9204.4968571003465</v>
      </c>
    </row>
    <row r="494" spans="14:17" x14ac:dyDescent="0.55000000000000004">
      <c r="N494" s="103">
        <v>465</v>
      </c>
      <c r="O494" s="103">
        <v>-3115.2084854492323</v>
      </c>
      <c r="P494" s="103">
        <v>14913.421184531298</v>
      </c>
      <c r="Q494" s="103">
        <v>9204.4968571003465</v>
      </c>
    </row>
    <row r="495" spans="14:17" x14ac:dyDescent="0.55000000000000004">
      <c r="N495" s="103">
        <v>466</v>
      </c>
      <c r="O495" s="103">
        <v>7074.8878917008406</v>
      </c>
      <c r="P495" s="103">
        <v>14913.421184531298</v>
      </c>
      <c r="Q495" s="103">
        <v>9204.4968571003465</v>
      </c>
    </row>
    <row r="496" spans="14:17" x14ac:dyDescent="0.55000000000000004">
      <c r="N496" s="103">
        <v>467</v>
      </c>
      <c r="O496" s="103">
        <v>23734.767127608466</v>
      </c>
      <c r="P496" s="103">
        <v>14913.421184531298</v>
      </c>
      <c r="Q496" s="103">
        <v>9204.4968571003465</v>
      </c>
    </row>
    <row r="497" spans="14:17" x14ac:dyDescent="0.55000000000000004">
      <c r="N497" s="103">
        <v>468</v>
      </c>
      <c r="O497" s="103">
        <v>3447.1203680565704</v>
      </c>
      <c r="P497" s="103">
        <v>14913.421184531298</v>
      </c>
      <c r="Q497" s="103">
        <v>9204.4968571003465</v>
      </c>
    </row>
    <row r="498" spans="14:17" x14ac:dyDescent="0.55000000000000004">
      <c r="N498" s="103">
        <v>469</v>
      </c>
      <c r="O498" s="103">
        <v>5839.4472214143316</v>
      </c>
      <c r="P498" s="103">
        <v>14913.421184531298</v>
      </c>
      <c r="Q498" s="103">
        <v>9204.4968571003465</v>
      </c>
    </row>
    <row r="499" spans="14:17" x14ac:dyDescent="0.55000000000000004">
      <c r="N499" s="103">
        <v>470</v>
      </c>
      <c r="O499" s="103">
        <v>15116.277618457771</v>
      </c>
      <c r="P499" s="103">
        <v>14913.421184531298</v>
      </c>
      <c r="Q499" s="103">
        <v>9204.4968571003465</v>
      </c>
    </row>
    <row r="500" spans="14:17" x14ac:dyDescent="0.55000000000000004">
      <c r="N500" s="103">
        <v>471</v>
      </c>
      <c r="O500" s="103">
        <v>1520.971440206642</v>
      </c>
      <c r="P500" s="103">
        <v>14913.421184531298</v>
      </c>
      <c r="Q500" s="103">
        <v>9204.4968571003465</v>
      </c>
    </row>
    <row r="501" spans="14:17" x14ac:dyDescent="0.55000000000000004">
      <c r="N501" s="103">
        <v>472</v>
      </c>
      <c r="O501" s="103">
        <v>886.24320808373704</v>
      </c>
      <c r="P501" s="103">
        <v>14913.421184531298</v>
      </c>
      <c r="Q501" s="103">
        <v>9204.4968571003465</v>
      </c>
    </row>
    <row r="502" spans="14:17" x14ac:dyDescent="0.55000000000000004">
      <c r="N502" s="103">
        <v>473</v>
      </c>
      <c r="O502" s="103">
        <v>10406.067546165152</v>
      </c>
      <c r="P502" s="103">
        <v>14913.421184531298</v>
      </c>
      <c r="Q502" s="103">
        <v>9204.4968571003465</v>
      </c>
    </row>
    <row r="503" spans="14:17" x14ac:dyDescent="0.55000000000000004">
      <c r="N503" s="103">
        <v>474</v>
      </c>
      <c r="O503" s="103">
        <v>6094.268227691331</v>
      </c>
      <c r="P503" s="103">
        <v>14913.421184531298</v>
      </c>
      <c r="Q503" s="103">
        <v>9204.4968571003465</v>
      </c>
    </row>
    <row r="504" spans="14:17" x14ac:dyDescent="0.55000000000000004">
      <c r="N504" s="103">
        <v>475</v>
      </c>
      <c r="O504" s="103">
        <v>9110.1908133157613</v>
      </c>
      <c r="P504" s="103">
        <v>14913.421184531298</v>
      </c>
      <c r="Q504" s="103">
        <v>9204.4968571003465</v>
      </c>
    </row>
    <row r="505" spans="14:17" x14ac:dyDescent="0.55000000000000004">
      <c r="N505" s="103">
        <v>476</v>
      </c>
      <c r="O505" s="103">
        <v>-5982.2561741177124</v>
      </c>
      <c r="P505" s="103">
        <v>14913.421184531298</v>
      </c>
      <c r="Q505" s="103">
        <v>9204.4968571003465</v>
      </c>
    </row>
    <row r="506" spans="14:17" x14ac:dyDescent="0.55000000000000004">
      <c r="N506" s="103">
        <v>477</v>
      </c>
      <c r="O506" s="103">
        <v>-6247.8027206577599</v>
      </c>
      <c r="P506" s="103">
        <v>14913.421184531298</v>
      </c>
      <c r="Q506" s="103">
        <v>9204.4968571003465</v>
      </c>
    </row>
    <row r="507" spans="14:17" x14ac:dyDescent="0.55000000000000004">
      <c r="N507" s="103">
        <v>478</v>
      </c>
      <c r="O507" s="103">
        <v>-57431.239152636808</v>
      </c>
      <c r="P507" s="103">
        <v>14913.421184531298</v>
      </c>
      <c r="Q507" s="103">
        <v>9204.4968571003465</v>
      </c>
    </row>
    <row r="508" spans="14:17" x14ac:dyDescent="0.55000000000000004">
      <c r="N508" s="103">
        <v>479</v>
      </c>
      <c r="O508" s="103">
        <v>9432.4382571011156</v>
      </c>
      <c r="P508" s="103">
        <v>14913.421184531298</v>
      </c>
      <c r="Q508" s="103">
        <v>9204.4968571003465</v>
      </c>
    </row>
    <row r="509" spans="14:17" x14ac:dyDescent="0.55000000000000004">
      <c r="N509" s="103">
        <v>480</v>
      </c>
      <c r="O509" s="103">
        <v>369.36537544358453</v>
      </c>
      <c r="P509" s="103">
        <v>14913.421184531298</v>
      </c>
      <c r="Q509" s="103">
        <v>9204.4968571003465</v>
      </c>
    </row>
    <row r="510" spans="14:17" x14ac:dyDescent="0.55000000000000004">
      <c r="N510" s="103">
        <v>481</v>
      </c>
      <c r="O510" s="103">
        <v>11656.665895745306</v>
      </c>
      <c r="P510" s="103">
        <v>14913.421184531298</v>
      </c>
      <c r="Q510" s="103">
        <v>9204.4968571003465</v>
      </c>
    </row>
    <row r="511" spans="14:17" x14ac:dyDescent="0.55000000000000004">
      <c r="N511" s="103">
        <v>482</v>
      </c>
      <c r="O511" s="103">
        <v>8290.5793733813534</v>
      </c>
      <c r="P511" s="103">
        <v>14913.421184531298</v>
      </c>
      <c r="Q511" s="103">
        <v>9204.4968571003465</v>
      </c>
    </row>
    <row r="512" spans="14:17" x14ac:dyDescent="0.55000000000000004">
      <c r="N512" s="103">
        <v>483</v>
      </c>
      <c r="O512" s="103">
        <v>5443.2229404862946</v>
      </c>
      <c r="P512" s="103">
        <v>14913.421184531298</v>
      </c>
      <c r="Q512" s="103">
        <v>9204.4968571003465</v>
      </c>
    </row>
    <row r="513" spans="14:17" x14ac:dyDescent="0.55000000000000004">
      <c r="N513" s="103">
        <v>484</v>
      </c>
      <c r="O513" s="103">
        <v>-3932.9335178108222</v>
      </c>
      <c r="P513" s="103">
        <v>14913.421184531298</v>
      </c>
      <c r="Q513" s="103">
        <v>9204.4968571003465</v>
      </c>
    </row>
    <row r="514" spans="14:17" x14ac:dyDescent="0.55000000000000004">
      <c r="N514" s="103">
        <v>485</v>
      </c>
      <c r="O514" s="103">
        <v>8902.1414654035798</v>
      </c>
      <c r="P514" s="103">
        <v>14913.421184531298</v>
      </c>
      <c r="Q514" s="103">
        <v>9204.4968571003465</v>
      </c>
    </row>
    <row r="515" spans="14:17" x14ac:dyDescent="0.55000000000000004">
      <c r="N515" s="103">
        <v>486</v>
      </c>
      <c r="O515" s="103">
        <v>-17397.428163064</v>
      </c>
      <c r="P515" s="103">
        <v>14913.421184531298</v>
      </c>
      <c r="Q515" s="103">
        <v>9204.4968571003465</v>
      </c>
    </row>
    <row r="516" spans="14:17" x14ac:dyDescent="0.55000000000000004">
      <c r="N516" s="103">
        <v>487</v>
      </c>
      <c r="O516" s="103">
        <v>5755.3870435765239</v>
      </c>
      <c r="P516" s="103">
        <v>14913.421184531298</v>
      </c>
      <c r="Q516" s="103">
        <v>9204.4968571003465</v>
      </c>
    </row>
    <row r="517" spans="14:17" x14ac:dyDescent="0.55000000000000004">
      <c r="N517" s="103">
        <v>488</v>
      </c>
      <c r="O517" s="103">
        <v>22624.461267416205</v>
      </c>
      <c r="P517" s="103">
        <v>14913.421184531298</v>
      </c>
      <c r="Q517" s="103">
        <v>9204.4968571003465</v>
      </c>
    </row>
    <row r="518" spans="14:17" x14ac:dyDescent="0.55000000000000004">
      <c r="N518" s="103">
        <v>489</v>
      </c>
      <c r="O518" s="103">
        <v>-32549.096251288771</v>
      </c>
      <c r="P518" s="103">
        <v>14913.421184531298</v>
      </c>
      <c r="Q518" s="103">
        <v>9204.4968571003465</v>
      </c>
    </row>
    <row r="519" spans="14:17" x14ac:dyDescent="0.55000000000000004">
      <c r="N519" s="103">
        <v>490</v>
      </c>
      <c r="O519" s="103">
        <v>16030.245445024433</v>
      </c>
      <c r="P519" s="103">
        <v>14913.421184531298</v>
      </c>
      <c r="Q519" s="103">
        <v>9204.4968571003465</v>
      </c>
    </row>
    <row r="520" spans="14:17" x14ac:dyDescent="0.55000000000000004">
      <c r="N520" s="103">
        <v>491</v>
      </c>
      <c r="O520" s="103">
        <v>-30949.952030522676</v>
      </c>
      <c r="P520" s="103">
        <v>14913.421184531298</v>
      </c>
      <c r="Q520" s="103">
        <v>9204.4968571003465</v>
      </c>
    </row>
    <row r="521" spans="14:17" x14ac:dyDescent="0.55000000000000004">
      <c r="N521" s="103">
        <v>492</v>
      </c>
      <c r="O521" s="103">
        <v>41297.460173316569</v>
      </c>
      <c r="P521" s="103">
        <v>14913.421184531298</v>
      </c>
      <c r="Q521" s="103">
        <v>9204.4968571003465</v>
      </c>
    </row>
    <row r="522" spans="14:17" x14ac:dyDescent="0.55000000000000004">
      <c r="N522" s="103">
        <v>493</v>
      </c>
      <c r="O522" s="103">
        <v>-925.5585978080876</v>
      </c>
      <c r="P522" s="103">
        <v>14913.421184531298</v>
      </c>
      <c r="Q522" s="103">
        <v>9204.4968571003465</v>
      </c>
    </row>
    <row r="523" spans="14:17" x14ac:dyDescent="0.55000000000000004">
      <c r="N523" s="103">
        <v>494</v>
      </c>
      <c r="O523" s="103">
        <v>-22494.800078372253</v>
      </c>
      <c r="P523" s="103">
        <v>14913.421184531298</v>
      </c>
      <c r="Q523" s="103">
        <v>9204.4968571003465</v>
      </c>
    </row>
    <row r="524" spans="14:17" x14ac:dyDescent="0.55000000000000004">
      <c r="N524" s="103">
        <v>495</v>
      </c>
      <c r="O524" s="103">
        <v>9354.0055323685592</v>
      </c>
      <c r="P524" s="103">
        <v>14913.421184531298</v>
      </c>
      <c r="Q524" s="103">
        <v>9204.4968571003465</v>
      </c>
    </row>
    <row r="525" spans="14:17" x14ac:dyDescent="0.55000000000000004">
      <c r="N525" s="103">
        <v>496</v>
      </c>
      <c r="O525" s="103">
        <v>9168.4094825776228</v>
      </c>
      <c r="P525" s="103">
        <v>14913.421184531298</v>
      </c>
      <c r="Q525" s="103">
        <v>9204.4968571003465</v>
      </c>
    </row>
    <row r="526" spans="14:17" x14ac:dyDescent="0.55000000000000004">
      <c r="N526" s="103">
        <v>497</v>
      </c>
      <c r="O526" s="103">
        <v>4628.9330602446607</v>
      </c>
      <c r="P526" s="103">
        <v>14913.421184531298</v>
      </c>
      <c r="Q526" s="103">
        <v>9204.4968571003465</v>
      </c>
    </row>
    <row r="527" spans="14:17" x14ac:dyDescent="0.55000000000000004">
      <c r="N527" s="103">
        <v>498</v>
      </c>
      <c r="O527" s="103">
        <v>5271.8117341217649</v>
      </c>
      <c r="P527" s="103">
        <v>14913.421184531298</v>
      </c>
      <c r="Q527" s="103">
        <v>9204.4968571003465</v>
      </c>
    </row>
    <row r="528" spans="14:17" x14ac:dyDescent="0.55000000000000004">
      <c r="N528" s="103">
        <v>499</v>
      </c>
      <c r="O528" s="103">
        <v>17009.502744142446</v>
      </c>
      <c r="P528" s="103">
        <v>14913.421184531298</v>
      </c>
      <c r="Q528" s="103">
        <v>9204.4968571003465</v>
      </c>
    </row>
    <row r="529" spans="14:17" x14ac:dyDescent="0.55000000000000004">
      <c r="N529" s="103">
        <v>500</v>
      </c>
      <c r="O529" s="103">
        <v>19050.578206729486</v>
      </c>
      <c r="P529" s="103">
        <v>14913.421184531298</v>
      </c>
      <c r="Q529" s="103">
        <v>9204.4968571003465</v>
      </c>
    </row>
    <row r="530" spans="14:17" x14ac:dyDescent="0.55000000000000004">
      <c r="N530" s="103">
        <v>501</v>
      </c>
      <c r="O530" s="103">
        <v>-2455.5840107124686</v>
      </c>
      <c r="P530" s="103">
        <v>14913.421184531298</v>
      </c>
      <c r="Q530" s="103">
        <v>9204.4968571003465</v>
      </c>
    </row>
    <row r="531" spans="14:17" x14ac:dyDescent="0.55000000000000004">
      <c r="N531" s="103">
        <v>502</v>
      </c>
      <c r="O531" s="103">
        <v>-5822.1285136905535</v>
      </c>
      <c r="P531" s="103">
        <v>14913.421184531298</v>
      </c>
      <c r="Q531" s="103">
        <v>9204.4968571003465</v>
      </c>
    </row>
    <row r="532" spans="14:17" x14ac:dyDescent="0.55000000000000004">
      <c r="N532" s="103">
        <v>503</v>
      </c>
      <c r="O532" s="103">
        <v>8519.400362628825</v>
      </c>
      <c r="P532" s="103">
        <v>14913.421184531298</v>
      </c>
      <c r="Q532" s="103">
        <v>9204.4968571003465</v>
      </c>
    </row>
    <row r="533" spans="14:17" x14ac:dyDescent="0.55000000000000004">
      <c r="N533" s="103">
        <v>504</v>
      </c>
      <c r="O533" s="103">
        <v>8824.8954189207652</v>
      </c>
      <c r="P533" s="103">
        <v>14913.421184531298</v>
      </c>
      <c r="Q533" s="103">
        <v>9204.4968571003465</v>
      </c>
    </row>
    <row r="534" spans="14:17" x14ac:dyDescent="0.55000000000000004">
      <c r="N534" s="103">
        <v>505</v>
      </c>
      <c r="O534" s="103">
        <v>-25989.750898463368</v>
      </c>
      <c r="P534" s="103">
        <v>14913.421184531298</v>
      </c>
      <c r="Q534" s="103">
        <v>9204.4968571003465</v>
      </c>
    </row>
    <row r="535" spans="14:17" x14ac:dyDescent="0.55000000000000004">
      <c r="N535" s="103">
        <v>506</v>
      </c>
      <c r="O535" s="103">
        <v>5387.8890664876108</v>
      </c>
      <c r="P535" s="103">
        <v>14913.421184531298</v>
      </c>
      <c r="Q535" s="103">
        <v>9204.4968571003465</v>
      </c>
    </row>
    <row r="536" spans="14:17" x14ac:dyDescent="0.55000000000000004">
      <c r="N536" s="103">
        <v>507</v>
      </c>
      <c r="O536" s="103">
        <v>-36211.850440936403</v>
      </c>
      <c r="P536" s="103">
        <v>14913.421184531298</v>
      </c>
      <c r="Q536" s="103">
        <v>9204.4968571003465</v>
      </c>
    </row>
    <row r="537" spans="14:17" x14ac:dyDescent="0.55000000000000004">
      <c r="N537" s="103">
        <v>508</v>
      </c>
      <c r="O537" s="103">
        <v>-7627.2489919462278</v>
      </c>
      <c r="P537" s="103">
        <v>14913.421184531298</v>
      </c>
      <c r="Q537" s="103">
        <v>9204.4968571003465</v>
      </c>
    </row>
    <row r="538" spans="14:17" x14ac:dyDescent="0.55000000000000004">
      <c r="N538" s="103">
        <v>509</v>
      </c>
      <c r="O538" s="103">
        <v>6626.6852446774028</v>
      </c>
      <c r="P538" s="103">
        <v>14913.421184531298</v>
      </c>
      <c r="Q538" s="103">
        <v>9204.4968571003465</v>
      </c>
    </row>
    <row r="539" spans="14:17" x14ac:dyDescent="0.55000000000000004">
      <c r="N539" s="103">
        <v>510</v>
      </c>
      <c r="O539" s="103">
        <v>11463.048827227147</v>
      </c>
      <c r="P539" s="103">
        <v>14913.421184531298</v>
      </c>
      <c r="Q539" s="103">
        <v>9204.4968571003465</v>
      </c>
    </row>
    <row r="540" spans="14:17" x14ac:dyDescent="0.55000000000000004">
      <c r="N540" s="103">
        <v>511</v>
      </c>
      <c r="O540" s="103">
        <v>6929.4502975514624</v>
      </c>
      <c r="P540" s="103">
        <v>14913.421184531298</v>
      </c>
      <c r="Q540" s="103">
        <v>9204.4968571003465</v>
      </c>
    </row>
    <row r="541" spans="14:17" x14ac:dyDescent="0.55000000000000004">
      <c r="N541" s="103">
        <v>512</v>
      </c>
      <c r="O541" s="103">
        <v>-10050.48652550218</v>
      </c>
      <c r="P541" s="103">
        <v>14913.421184531298</v>
      </c>
      <c r="Q541" s="103">
        <v>9204.4968571003465</v>
      </c>
    </row>
    <row r="542" spans="14:17" x14ac:dyDescent="0.55000000000000004">
      <c r="N542" s="103">
        <v>513</v>
      </c>
      <c r="O542" s="103">
        <v>5309.8934063739416</v>
      </c>
      <c r="P542" s="103">
        <v>14913.421184531298</v>
      </c>
      <c r="Q542" s="103">
        <v>9204.4968571003465</v>
      </c>
    </row>
    <row r="543" spans="14:17" x14ac:dyDescent="0.55000000000000004">
      <c r="N543" s="103">
        <v>514</v>
      </c>
      <c r="O543" s="103">
        <v>-1951.3420057240428</v>
      </c>
      <c r="P543" s="103">
        <v>14913.421184531298</v>
      </c>
      <c r="Q543" s="103">
        <v>9204.4968571003465</v>
      </c>
    </row>
    <row r="544" spans="14:17" x14ac:dyDescent="0.55000000000000004">
      <c r="N544" s="103">
        <v>515</v>
      </c>
      <c r="O544" s="103">
        <v>-1097.0884893564817</v>
      </c>
      <c r="P544" s="103">
        <v>14913.421184531298</v>
      </c>
      <c r="Q544" s="103">
        <v>9204.4968571003465</v>
      </c>
    </row>
    <row r="545" spans="14:17" x14ac:dyDescent="0.55000000000000004">
      <c r="N545" s="103">
        <v>516</v>
      </c>
      <c r="O545" s="103">
        <v>92631.851666690229</v>
      </c>
      <c r="P545" s="103">
        <v>14913.421184531298</v>
      </c>
      <c r="Q545" s="103">
        <v>9204.4968571003465</v>
      </c>
    </row>
    <row r="546" spans="14:17" x14ac:dyDescent="0.55000000000000004">
      <c r="N546" s="103">
        <v>517</v>
      </c>
      <c r="O546" s="103">
        <v>7667.4039035329224</v>
      </c>
      <c r="P546" s="103">
        <v>14913.421184531298</v>
      </c>
      <c r="Q546" s="103">
        <v>9204.4968571003465</v>
      </c>
    </row>
    <row r="547" spans="14:17" x14ac:dyDescent="0.55000000000000004">
      <c r="N547" s="103">
        <v>518</v>
      </c>
      <c r="O547" s="103">
        <v>8898.7803070161408</v>
      </c>
      <c r="P547" s="103">
        <v>14913.421184531298</v>
      </c>
      <c r="Q547" s="103">
        <v>9204.4968571003465</v>
      </c>
    </row>
    <row r="548" spans="14:17" x14ac:dyDescent="0.55000000000000004">
      <c r="N548" s="103">
        <v>519</v>
      </c>
      <c r="O548" s="103">
        <v>4722.40448966845</v>
      </c>
      <c r="P548" s="103">
        <v>14913.421184531298</v>
      </c>
      <c r="Q548" s="103">
        <v>9204.4968571003465</v>
      </c>
    </row>
    <row r="549" spans="14:17" x14ac:dyDescent="0.55000000000000004">
      <c r="N549" s="103">
        <v>520</v>
      </c>
      <c r="O549" s="103">
        <v>6528.5204581420512</v>
      </c>
      <c r="P549" s="103">
        <v>14913.421184531298</v>
      </c>
      <c r="Q549" s="103">
        <v>9204.4968571003465</v>
      </c>
    </row>
    <row r="550" spans="14:17" x14ac:dyDescent="0.55000000000000004">
      <c r="N550" s="103">
        <v>521</v>
      </c>
      <c r="O550" s="103">
        <v>-9329.9183005311024</v>
      </c>
      <c r="P550" s="103">
        <v>14913.421184531298</v>
      </c>
      <c r="Q550" s="103">
        <v>9204.4968571003465</v>
      </c>
    </row>
    <row r="551" spans="14:17" x14ac:dyDescent="0.55000000000000004">
      <c r="N551" s="103">
        <v>522</v>
      </c>
      <c r="O551" s="103">
        <v>8530.5885752954837</v>
      </c>
      <c r="P551" s="103">
        <v>14913.421184531298</v>
      </c>
      <c r="Q551" s="103">
        <v>9204.4968571003465</v>
      </c>
    </row>
    <row r="552" spans="14:17" x14ac:dyDescent="0.55000000000000004">
      <c r="N552" s="103">
        <v>523</v>
      </c>
      <c r="O552" s="103">
        <v>-3773.5998536485718</v>
      </c>
      <c r="P552" s="103">
        <v>14913.421184531298</v>
      </c>
      <c r="Q552" s="103">
        <v>9204.4968571003465</v>
      </c>
    </row>
    <row r="553" spans="14:17" x14ac:dyDescent="0.55000000000000004">
      <c r="N553" s="103">
        <v>524</v>
      </c>
      <c r="O553" s="103">
        <v>-35034.271117252771</v>
      </c>
      <c r="P553" s="103">
        <v>14913.421184531298</v>
      </c>
      <c r="Q553" s="103">
        <v>9204.4968571003465</v>
      </c>
    </row>
    <row r="554" spans="14:17" x14ac:dyDescent="0.55000000000000004">
      <c r="N554" s="103">
        <v>525</v>
      </c>
      <c r="O554" s="103">
        <v>6615.6828618244381</v>
      </c>
      <c r="P554" s="103">
        <v>14913.421184531298</v>
      </c>
      <c r="Q554" s="103">
        <v>9204.4968571003465</v>
      </c>
    </row>
    <row r="555" spans="14:17" x14ac:dyDescent="0.55000000000000004">
      <c r="N555" s="103">
        <v>526</v>
      </c>
      <c r="O555" s="103">
        <v>12168.375949924019</v>
      </c>
      <c r="P555" s="103">
        <v>14913.421184531298</v>
      </c>
      <c r="Q555" s="103">
        <v>9204.4968571003465</v>
      </c>
    </row>
    <row r="556" spans="14:17" x14ac:dyDescent="0.55000000000000004">
      <c r="N556" s="103">
        <v>527</v>
      </c>
      <c r="O556" s="103">
        <v>33989.986347304693</v>
      </c>
      <c r="P556" s="103">
        <v>14913.421184531298</v>
      </c>
      <c r="Q556" s="103">
        <v>9204.4968571003465</v>
      </c>
    </row>
    <row r="557" spans="14:17" x14ac:dyDescent="0.55000000000000004">
      <c r="N557" s="103">
        <v>528</v>
      </c>
      <c r="O557" s="103">
        <v>-2469.5336502579894</v>
      </c>
      <c r="P557" s="103">
        <v>14913.421184531298</v>
      </c>
      <c r="Q557" s="103">
        <v>9204.4968571003465</v>
      </c>
    </row>
    <row r="558" spans="14:17" x14ac:dyDescent="0.55000000000000004">
      <c r="N558" s="103">
        <v>529</v>
      </c>
      <c r="O558" s="103">
        <v>-34583.55186095494</v>
      </c>
      <c r="P558" s="103">
        <v>14913.421184531298</v>
      </c>
      <c r="Q558" s="103">
        <v>9204.4968571003465</v>
      </c>
    </row>
    <row r="559" spans="14:17" x14ac:dyDescent="0.55000000000000004">
      <c r="N559" s="103">
        <v>530</v>
      </c>
      <c r="O559" s="103">
        <v>-11955.0515061191</v>
      </c>
      <c r="P559" s="103">
        <v>14913.421184531298</v>
      </c>
      <c r="Q559" s="103">
        <v>9204.4968571003465</v>
      </c>
    </row>
    <row r="560" spans="14:17" x14ac:dyDescent="0.55000000000000004">
      <c r="N560" s="103">
        <v>531</v>
      </c>
      <c r="O560" s="103">
        <v>-5694.4078815752855</v>
      </c>
      <c r="P560" s="103">
        <v>14913.421184531298</v>
      </c>
      <c r="Q560" s="103">
        <v>9204.4968571003465</v>
      </c>
    </row>
    <row r="561" spans="14:17" x14ac:dyDescent="0.55000000000000004">
      <c r="N561" s="103">
        <v>532</v>
      </c>
      <c r="O561" s="103">
        <v>18835.4784595565</v>
      </c>
      <c r="P561" s="103">
        <v>14913.421184531298</v>
      </c>
      <c r="Q561" s="103">
        <v>9204.4968571003465</v>
      </c>
    </row>
    <row r="562" spans="14:17" x14ac:dyDescent="0.55000000000000004">
      <c r="N562" s="103">
        <v>533</v>
      </c>
      <c r="O562" s="103">
        <v>-6910.9496679046297</v>
      </c>
      <c r="P562" s="103">
        <v>14913.421184531298</v>
      </c>
      <c r="Q562" s="103">
        <v>9204.4968571003465</v>
      </c>
    </row>
    <row r="563" spans="14:17" x14ac:dyDescent="0.55000000000000004">
      <c r="N563" s="103">
        <v>534</v>
      </c>
      <c r="O563" s="103">
        <v>-21224.95623090976</v>
      </c>
      <c r="P563" s="103">
        <v>14913.421184531298</v>
      </c>
      <c r="Q563" s="103">
        <v>9204.4968571003465</v>
      </c>
    </row>
    <row r="564" spans="14:17" x14ac:dyDescent="0.55000000000000004">
      <c r="N564" s="103">
        <v>535</v>
      </c>
      <c r="O564" s="103">
        <v>6349.5971481276229</v>
      </c>
      <c r="P564" s="103">
        <v>14913.421184531298</v>
      </c>
      <c r="Q564" s="103">
        <v>9204.4968571003465</v>
      </c>
    </row>
    <row r="565" spans="14:17" x14ac:dyDescent="0.55000000000000004">
      <c r="N565" s="103">
        <v>536</v>
      </c>
      <c r="O565" s="103">
        <v>17969.240015292296</v>
      </c>
      <c r="P565" s="103">
        <v>14913.421184531298</v>
      </c>
      <c r="Q565" s="103">
        <v>9204.4968571003465</v>
      </c>
    </row>
    <row r="566" spans="14:17" x14ac:dyDescent="0.55000000000000004">
      <c r="N566" s="103">
        <v>537</v>
      </c>
      <c r="O566" s="103">
        <v>10158.749805871263</v>
      </c>
      <c r="P566" s="103">
        <v>14913.421184531298</v>
      </c>
      <c r="Q566" s="103">
        <v>9204.4968571003465</v>
      </c>
    </row>
    <row r="567" spans="14:17" x14ac:dyDescent="0.55000000000000004">
      <c r="N567" s="103">
        <v>538</v>
      </c>
      <c r="O567" s="103">
        <v>10201.489768067722</v>
      </c>
      <c r="P567" s="103">
        <v>14913.421184531298</v>
      </c>
      <c r="Q567" s="103">
        <v>9204.4968571003465</v>
      </c>
    </row>
    <row r="568" spans="14:17" x14ac:dyDescent="0.55000000000000004">
      <c r="N568" s="103">
        <v>539</v>
      </c>
      <c r="O568" s="103">
        <v>-734.44952406457651</v>
      </c>
      <c r="P568" s="103">
        <v>14913.421184531298</v>
      </c>
      <c r="Q568" s="103">
        <v>9204.4968571003465</v>
      </c>
    </row>
    <row r="569" spans="14:17" x14ac:dyDescent="0.55000000000000004">
      <c r="N569" s="103">
        <v>540</v>
      </c>
      <c r="O569" s="103">
        <v>-3565.7125411452716</v>
      </c>
      <c r="P569" s="103">
        <v>14913.421184531298</v>
      </c>
      <c r="Q569" s="103">
        <v>9204.4968571003465</v>
      </c>
    </row>
    <row r="570" spans="14:17" x14ac:dyDescent="0.55000000000000004">
      <c r="N570" s="103">
        <v>541</v>
      </c>
      <c r="O570" s="103">
        <v>12683.240837240555</v>
      </c>
      <c r="P570" s="103">
        <v>14913.421184531298</v>
      </c>
      <c r="Q570" s="103">
        <v>9204.4968571003465</v>
      </c>
    </row>
    <row r="571" spans="14:17" x14ac:dyDescent="0.55000000000000004">
      <c r="N571" s="103">
        <v>542</v>
      </c>
      <c r="O571" s="103">
        <v>264023.15978856524</v>
      </c>
      <c r="P571" s="103">
        <v>14913.421184531298</v>
      </c>
      <c r="Q571" s="103">
        <v>9204.4968571003465</v>
      </c>
    </row>
    <row r="572" spans="14:17" x14ac:dyDescent="0.55000000000000004">
      <c r="N572" s="103">
        <v>543</v>
      </c>
      <c r="O572" s="103">
        <v>-4988.0490166839645</v>
      </c>
      <c r="P572" s="103">
        <v>14913.421184531298</v>
      </c>
      <c r="Q572" s="103">
        <v>9204.4968571003465</v>
      </c>
    </row>
    <row r="573" spans="14:17" x14ac:dyDescent="0.55000000000000004">
      <c r="N573" s="103">
        <v>544</v>
      </c>
      <c r="O573" s="103">
        <v>-543.71091290962977</v>
      </c>
      <c r="P573" s="103">
        <v>14913.421184531298</v>
      </c>
      <c r="Q573" s="103">
        <v>9204.4968571003465</v>
      </c>
    </row>
    <row r="574" spans="14:17" x14ac:dyDescent="0.55000000000000004">
      <c r="N574" s="103">
        <v>545</v>
      </c>
      <c r="O574" s="103">
        <v>9525.4754857182343</v>
      </c>
      <c r="P574" s="103">
        <v>14913.421184531298</v>
      </c>
      <c r="Q574" s="103">
        <v>9204.4968571003465</v>
      </c>
    </row>
    <row r="575" spans="14:17" x14ac:dyDescent="0.55000000000000004">
      <c r="N575" s="103">
        <v>546</v>
      </c>
      <c r="O575" s="103">
        <v>10194.55862849533</v>
      </c>
      <c r="P575" s="103">
        <v>14913.421184531298</v>
      </c>
      <c r="Q575" s="103">
        <v>9204.4968571003465</v>
      </c>
    </row>
    <row r="576" spans="14:17" x14ac:dyDescent="0.55000000000000004">
      <c r="N576" s="103">
        <v>547</v>
      </c>
      <c r="O576" s="103">
        <v>67884.232775102777</v>
      </c>
      <c r="P576" s="103">
        <v>14913.421184531298</v>
      </c>
      <c r="Q576" s="103">
        <v>9204.4968571003465</v>
      </c>
    </row>
    <row r="577" spans="14:17" x14ac:dyDescent="0.55000000000000004">
      <c r="N577" s="103">
        <v>548</v>
      </c>
      <c r="O577" s="103">
        <v>11415.37209243655</v>
      </c>
      <c r="P577" s="103">
        <v>14913.421184531298</v>
      </c>
      <c r="Q577" s="103">
        <v>9204.4968571003465</v>
      </c>
    </row>
    <row r="578" spans="14:17" x14ac:dyDescent="0.55000000000000004">
      <c r="N578" s="103">
        <v>549</v>
      </c>
      <c r="O578" s="103">
        <v>153.63734704891704</v>
      </c>
      <c r="P578" s="103">
        <v>14913.421184531298</v>
      </c>
      <c r="Q578" s="103">
        <v>9204.4968571003465</v>
      </c>
    </row>
    <row r="579" spans="14:17" x14ac:dyDescent="0.55000000000000004">
      <c r="N579" s="103">
        <v>550</v>
      </c>
      <c r="O579" s="103">
        <v>7252.3469652785225</v>
      </c>
      <c r="P579" s="103">
        <v>14913.421184531298</v>
      </c>
      <c r="Q579" s="103">
        <v>9204.4968571003465</v>
      </c>
    </row>
    <row r="580" spans="14:17" x14ac:dyDescent="0.55000000000000004">
      <c r="N580" s="103">
        <v>551</v>
      </c>
      <c r="O580" s="103">
        <v>-2598.243706017709</v>
      </c>
      <c r="P580" s="103">
        <v>14913.421184531298</v>
      </c>
      <c r="Q580" s="103">
        <v>9204.4968571003465</v>
      </c>
    </row>
    <row r="581" spans="14:17" x14ac:dyDescent="0.55000000000000004">
      <c r="N581" s="103">
        <v>552</v>
      </c>
      <c r="O581" s="103">
        <v>10526.208555269575</v>
      </c>
      <c r="P581" s="103">
        <v>14913.421184531298</v>
      </c>
      <c r="Q581" s="103">
        <v>9204.4968571003465</v>
      </c>
    </row>
    <row r="582" spans="14:17" x14ac:dyDescent="0.55000000000000004">
      <c r="N582" s="103">
        <v>553</v>
      </c>
      <c r="O582" s="103">
        <v>-65442.846046523169</v>
      </c>
      <c r="P582" s="103">
        <v>14913.421184531298</v>
      </c>
      <c r="Q582" s="103">
        <v>9204.4968571003465</v>
      </c>
    </row>
    <row r="583" spans="14:17" x14ac:dyDescent="0.55000000000000004">
      <c r="N583" s="103">
        <v>554</v>
      </c>
      <c r="O583" s="103">
        <v>8807.5054388244316</v>
      </c>
      <c r="P583" s="103">
        <v>14913.421184531298</v>
      </c>
      <c r="Q583" s="103">
        <v>9204.4968571003465</v>
      </c>
    </row>
    <row r="584" spans="14:17" x14ac:dyDescent="0.55000000000000004">
      <c r="N584" s="103">
        <v>555</v>
      </c>
      <c r="O584" s="103">
        <v>338.26980692383086</v>
      </c>
      <c r="P584" s="103">
        <v>14913.421184531298</v>
      </c>
      <c r="Q584" s="103">
        <v>9204.4968571003465</v>
      </c>
    </row>
    <row r="585" spans="14:17" x14ac:dyDescent="0.55000000000000004">
      <c r="N585" s="103">
        <v>556</v>
      </c>
      <c r="O585" s="103">
        <v>40932.922837884755</v>
      </c>
      <c r="P585" s="103">
        <v>14913.421184531298</v>
      </c>
      <c r="Q585" s="103">
        <v>9204.4968571003465</v>
      </c>
    </row>
    <row r="586" spans="14:17" x14ac:dyDescent="0.55000000000000004">
      <c r="N586" s="103">
        <v>557</v>
      </c>
      <c r="O586" s="103">
        <v>8782.2346799206498</v>
      </c>
      <c r="P586" s="103">
        <v>14913.421184531298</v>
      </c>
      <c r="Q586" s="103">
        <v>9204.4968571003465</v>
      </c>
    </row>
    <row r="587" spans="14:17" x14ac:dyDescent="0.55000000000000004">
      <c r="N587" s="103">
        <v>558</v>
      </c>
      <c r="O587" s="103">
        <v>57157.094983733485</v>
      </c>
      <c r="P587" s="103">
        <v>14913.421184531298</v>
      </c>
      <c r="Q587" s="103">
        <v>9204.4968571003465</v>
      </c>
    </row>
    <row r="588" spans="14:17" x14ac:dyDescent="0.55000000000000004">
      <c r="N588" s="103">
        <v>559</v>
      </c>
      <c r="O588" s="103">
        <v>-828.93744023493946</v>
      </c>
      <c r="P588" s="103">
        <v>14913.421184531298</v>
      </c>
      <c r="Q588" s="103">
        <v>9204.4968571003465</v>
      </c>
    </row>
    <row r="589" spans="14:17" x14ac:dyDescent="0.55000000000000004">
      <c r="N589" s="103">
        <v>560</v>
      </c>
      <c r="O589" s="103">
        <v>7915.7791155110299</v>
      </c>
      <c r="P589" s="103">
        <v>14913.421184531298</v>
      </c>
      <c r="Q589" s="103">
        <v>9204.4968571003465</v>
      </c>
    </row>
    <row r="590" spans="14:17" x14ac:dyDescent="0.55000000000000004">
      <c r="N590" s="103">
        <v>561</v>
      </c>
      <c r="O590" s="103">
        <v>74224.859389152931</v>
      </c>
      <c r="P590" s="103">
        <v>14913.421184531298</v>
      </c>
      <c r="Q590" s="103">
        <v>9204.4968571003465</v>
      </c>
    </row>
    <row r="591" spans="14:17" x14ac:dyDescent="0.55000000000000004">
      <c r="N591" s="103">
        <v>562</v>
      </c>
      <c r="O591" s="103">
        <v>-1618.7621854041099</v>
      </c>
      <c r="P591" s="103">
        <v>14913.421184531298</v>
      </c>
      <c r="Q591" s="103">
        <v>9204.4968571003465</v>
      </c>
    </row>
    <row r="592" spans="14:17" x14ac:dyDescent="0.55000000000000004">
      <c r="N592" s="103">
        <v>563</v>
      </c>
      <c r="O592" s="103">
        <v>-48372.183229848437</v>
      </c>
      <c r="P592" s="103">
        <v>14913.421184531298</v>
      </c>
      <c r="Q592" s="103">
        <v>9204.4968571003465</v>
      </c>
    </row>
    <row r="593" spans="14:17" x14ac:dyDescent="0.55000000000000004">
      <c r="N593" s="103">
        <v>564</v>
      </c>
      <c r="O593" s="103">
        <v>-6492.8492036736307</v>
      </c>
      <c r="P593" s="103">
        <v>14913.421184531298</v>
      </c>
      <c r="Q593" s="103">
        <v>9204.4968571003465</v>
      </c>
    </row>
    <row r="594" spans="14:17" x14ac:dyDescent="0.55000000000000004">
      <c r="N594" s="103">
        <v>565</v>
      </c>
      <c r="O594" s="103">
        <v>-136792.4543269354</v>
      </c>
      <c r="P594" s="103">
        <v>14913.421184531298</v>
      </c>
      <c r="Q594" s="103">
        <v>9204.4968571003465</v>
      </c>
    </row>
    <row r="595" spans="14:17" x14ac:dyDescent="0.55000000000000004">
      <c r="N595" s="103">
        <v>566</v>
      </c>
      <c r="O595" s="103">
        <v>5507.0219522766802</v>
      </c>
      <c r="P595" s="103">
        <v>14913.421184531298</v>
      </c>
      <c r="Q595" s="103">
        <v>9204.4968571003465</v>
      </c>
    </row>
    <row r="596" spans="14:17" x14ac:dyDescent="0.55000000000000004">
      <c r="N596" s="103">
        <v>567</v>
      </c>
      <c r="O596" s="103">
        <v>11074.542181131586</v>
      </c>
      <c r="P596" s="103">
        <v>14913.421184531298</v>
      </c>
      <c r="Q596" s="103">
        <v>9204.4968571003465</v>
      </c>
    </row>
    <row r="597" spans="14:17" x14ac:dyDescent="0.55000000000000004">
      <c r="N597" s="103">
        <v>568</v>
      </c>
      <c r="O597" s="103">
        <v>5673.7014070305886</v>
      </c>
      <c r="P597" s="103">
        <v>14913.421184531298</v>
      </c>
      <c r="Q597" s="103">
        <v>9204.4968571003465</v>
      </c>
    </row>
    <row r="598" spans="14:17" x14ac:dyDescent="0.55000000000000004">
      <c r="N598" s="103">
        <v>569</v>
      </c>
      <c r="O598" s="103">
        <v>22418.018732379547</v>
      </c>
      <c r="P598" s="103">
        <v>14913.421184531298</v>
      </c>
      <c r="Q598" s="103">
        <v>9204.4968571003465</v>
      </c>
    </row>
    <row r="599" spans="14:17" x14ac:dyDescent="0.55000000000000004">
      <c r="N599" s="103">
        <v>570</v>
      </c>
      <c r="O599" s="103">
        <v>21476.748683575603</v>
      </c>
      <c r="P599" s="103">
        <v>14913.421184531298</v>
      </c>
      <c r="Q599" s="103">
        <v>9204.4968571003465</v>
      </c>
    </row>
    <row r="600" spans="14:17" x14ac:dyDescent="0.55000000000000004">
      <c r="N600" s="103">
        <v>571</v>
      </c>
      <c r="O600" s="103">
        <v>12406.521654724827</v>
      </c>
      <c r="P600" s="103">
        <v>14913.421184531298</v>
      </c>
      <c r="Q600" s="103">
        <v>9204.4968571003465</v>
      </c>
    </row>
    <row r="601" spans="14:17" x14ac:dyDescent="0.55000000000000004">
      <c r="N601" s="103">
        <v>572</v>
      </c>
      <c r="O601" s="103">
        <v>-13908.507758305361</v>
      </c>
      <c r="P601" s="103">
        <v>14913.421184531298</v>
      </c>
      <c r="Q601" s="103">
        <v>9204.4968571003465</v>
      </c>
    </row>
    <row r="602" spans="14:17" x14ac:dyDescent="0.55000000000000004">
      <c r="N602" s="103">
        <v>573</v>
      </c>
      <c r="O602" s="103">
        <v>5301.7806705269995</v>
      </c>
      <c r="P602" s="103">
        <v>14913.421184531298</v>
      </c>
      <c r="Q602" s="103">
        <v>9204.4968571003465</v>
      </c>
    </row>
    <row r="603" spans="14:17" x14ac:dyDescent="0.55000000000000004">
      <c r="N603" s="103">
        <v>574</v>
      </c>
      <c r="O603" s="103">
        <v>-1547.4671144141385</v>
      </c>
      <c r="P603" s="103">
        <v>14913.421184531298</v>
      </c>
      <c r="Q603" s="103">
        <v>9204.4968571003465</v>
      </c>
    </row>
    <row r="604" spans="14:17" x14ac:dyDescent="0.55000000000000004">
      <c r="N604" s="103">
        <v>575</v>
      </c>
      <c r="O604" s="103">
        <v>-7372.2107119588991</v>
      </c>
      <c r="P604" s="103">
        <v>14913.421184531298</v>
      </c>
      <c r="Q604" s="103">
        <v>9204.4968571003465</v>
      </c>
    </row>
    <row r="605" spans="14:17" x14ac:dyDescent="0.55000000000000004">
      <c r="N605" s="103">
        <v>576</v>
      </c>
      <c r="O605" s="103">
        <v>7871.8115764068134</v>
      </c>
      <c r="P605" s="103">
        <v>14913.421184531298</v>
      </c>
      <c r="Q605" s="103">
        <v>9204.4968571003465</v>
      </c>
    </row>
    <row r="606" spans="14:17" x14ac:dyDescent="0.55000000000000004">
      <c r="N606" s="103">
        <v>577</v>
      </c>
      <c r="O606" s="103">
        <v>-15385.937024975081</v>
      </c>
      <c r="P606" s="103">
        <v>14913.421184531298</v>
      </c>
      <c r="Q606" s="103">
        <v>9204.4968571003465</v>
      </c>
    </row>
    <row r="607" spans="14:17" x14ac:dyDescent="0.55000000000000004">
      <c r="N607" s="103">
        <v>578</v>
      </c>
      <c r="O607" s="103">
        <v>-2704.8795218339274</v>
      </c>
      <c r="P607" s="103">
        <v>14913.421184531298</v>
      </c>
      <c r="Q607" s="103">
        <v>9204.4968571003465</v>
      </c>
    </row>
    <row r="608" spans="14:17" x14ac:dyDescent="0.55000000000000004">
      <c r="N608" s="103">
        <v>579</v>
      </c>
      <c r="O608" s="103">
        <v>9726.4365801250788</v>
      </c>
      <c r="P608" s="103">
        <v>14913.421184531298</v>
      </c>
      <c r="Q608" s="103">
        <v>9204.4968571003465</v>
      </c>
    </row>
    <row r="609" spans="14:17" x14ac:dyDescent="0.55000000000000004">
      <c r="N609" s="103">
        <v>580</v>
      </c>
      <c r="O609" s="103">
        <v>5727.5448938995087</v>
      </c>
      <c r="P609" s="103">
        <v>14913.421184531298</v>
      </c>
      <c r="Q609" s="103">
        <v>9204.4968571003465</v>
      </c>
    </row>
    <row r="610" spans="14:17" x14ac:dyDescent="0.55000000000000004">
      <c r="N610" s="103">
        <v>581</v>
      </c>
      <c r="O610" s="103">
        <v>17277.702796551232</v>
      </c>
      <c r="P610" s="103">
        <v>14913.421184531298</v>
      </c>
      <c r="Q610" s="103">
        <v>9204.4968571003465</v>
      </c>
    </row>
    <row r="611" spans="14:17" x14ac:dyDescent="0.55000000000000004">
      <c r="N611" s="103">
        <v>582</v>
      </c>
      <c r="O611" s="103">
        <v>51.23835800772531</v>
      </c>
      <c r="P611" s="103">
        <v>14913.421184531298</v>
      </c>
      <c r="Q611" s="103">
        <v>9204.4968571003465</v>
      </c>
    </row>
    <row r="612" spans="14:17" x14ac:dyDescent="0.55000000000000004">
      <c r="N612" s="103">
        <v>583</v>
      </c>
      <c r="O612" s="103">
        <v>-1535.8758396758267</v>
      </c>
      <c r="P612" s="103">
        <v>14913.421184531298</v>
      </c>
      <c r="Q612" s="103">
        <v>9204.4968571003465</v>
      </c>
    </row>
    <row r="613" spans="14:17" x14ac:dyDescent="0.55000000000000004">
      <c r="N613" s="103">
        <v>584</v>
      </c>
      <c r="O613" s="103">
        <v>-2111.1852222285843</v>
      </c>
      <c r="P613" s="103">
        <v>14913.421184531298</v>
      </c>
      <c r="Q613" s="103">
        <v>9204.4968571003465</v>
      </c>
    </row>
    <row r="614" spans="14:17" x14ac:dyDescent="0.55000000000000004">
      <c r="N614" s="103">
        <v>585</v>
      </c>
      <c r="O614" s="103">
        <v>-38534.921222160214</v>
      </c>
      <c r="P614" s="103">
        <v>14913.421184531298</v>
      </c>
      <c r="Q614" s="103">
        <v>9204.4968571003465</v>
      </c>
    </row>
    <row r="615" spans="14:17" x14ac:dyDescent="0.55000000000000004">
      <c r="N615" s="103">
        <v>586</v>
      </c>
      <c r="O615" s="103">
        <v>-2130.0239929893323</v>
      </c>
      <c r="P615" s="103">
        <v>14913.421184531298</v>
      </c>
      <c r="Q615" s="103">
        <v>9204.4968571003465</v>
      </c>
    </row>
    <row r="616" spans="14:17" x14ac:dyDescent="0.55000000000000004">
      <c r="N616" s="103">
        <v>587</v>
      </c>
      <c r="O616" s="103">
        <v>5438.8712813135735</v>
      </c>
      <c r="P616" s="103">
        <v>14913.421184531298</v>
      </c>
      <c r="Q616" s="103">
        <v>9204.4968571003465</v>
      </c>
    </row>
    <row r="617" spans="14:17" x14ac:dyDescent="0.55000000000000004">
      <c r="N617" s="103">
        <v>588</v>
      </c>
      <c r="O617" s="103">
        <v>9901.4839949496491</v>
      </c>
      <c r="P617" s="103">
        <v>14913.421184531298</v>
      </c>
      <c r="Q617" s="103">
        <v>9204.4968571003465</v>
      </c>
    </row>
    <row r="618" spans="14:17" x14ac:dyDescent="0.55000000000000004">
      <c r="N618" s="103">
        <v>589</v>
      </c>
      <c r="O618" s="103">
        <v>6754.9179196238665</v>
      </c>
      <c r="P618" s="103">
        <v>14913.421184531298</v>
      </c>
      <c r="Q618" s="103">
        <v>9204.4968571003465</v>
      </c>
    </row>
    <row r="619" spans="14:17" x14ac:dyDescent="0.55000000000000004">
      <c r="N619" s="103">
        <v>590</v>
      </c>
      <c r="O619" s="103">
        <v>-13382.904452267432</v>
      </c>
      <c r="P619" s="103">
        <v>14913.421184531298</v>
      </c>
      <c r="Q619" s="103">
        <v>9204.4968571003465</v>
      </c>
    </row>
    <row r="620" spans="14:17" x14ac:dyDescent="0.55000000000000004">
      <c r="N620" s="103">
        <v>591</v>
      </c>
      <c r="O620" s="103">
        <v>-549.01525173304617</v>
      </c>
      <c r="P620" s="103">
        <v>14913.421184531298</v>
      </c>
      <c r="Q620" s="103">
        <v>9204.4968571003465</v>
      </c>
    </row>
    <row r="621" spans="14:17" x14ac:dyDescent="0.55000000000000004">
      <c r="N621" s="103">
        <v>592</v>
      </c>
      <c r="O621" s="103">
        <v>12678.68309027883</v>
      </c>
      <c r="P621" s="103">
        <v>14913.421184531298</v>
      </c>
      <c r="Q621" s="103">
        <v>9204.4968571003465</v>
      </c>
    </row>
    <row r="622" spans="14:17" x14ac:dyDescent="0.55000000000000004">
      <c r="N622" s="103">
        <v>593</v>
      </c>
      <c r="O622" s="103">
        <v>6486.9684118744208</v>
      </c>
      <c r="P622" s="103">
        <v>14913.421184531298</v>
      </c>
      <c r="Q622" s="103">
        <v>9204.4968571003465</v>
      </c>
    </row>
    <row r="623" spans="14:17" x14ac:dyDescent="0.55000000000000004">
      <c r="N623" s="103">
        <v>594</v>
      </c>
      <c r="O623" s="103">
        <v>8015.52399231449</v>
      </c>
      <c r="P623" s="103">
        <v>14913.421184531298</v>
      </c>
      <c r="Q623" s="103">
        <v>9204.4968571003465</v>
      </c>
    </row>
    <row r="624" spans="14:17" x14ac:dyDescent="0.55000000000000004">
      <c r="N624" s="103">
        <v>595</v>
      </c>
      <c r="O624" s="103">
        <v>8503.3874628258818</v>
      </c>
      <c r="P624" s="103">
        <v>14913.421184531298</v>
      </c>
      <c r="Q624" s="103">
        <v>9204.4968571003465</v>
      </c>
    </row>
    <row r="625" spans="14:17" x14ac:dyDescent="0.55000000000000004">
      <c r="N625" s="103">
        <v>596</v>
      </c>
      <c r="O625" s="103">
        <v>146408.03054317666</v>
      </c>
      <c r="P625" s="103">
        <v>14913.421184531298</v>
      </c>
      <c r="Q625" s="103">
        <v>9204.4968571003465</v>
      </c>
    </row>
    <row r="626" spans="14:17" x14ac:dyDescent="0.55000000000000004">
      <c r="N626" s="103">
        <v>597</v>
      </c>
      <c r="O626" s="103">
        <v>24675.431290501387</v>
      </c>
      <c r="P626" s="103">
        <v>14913.421184531298</v>
      </c>
      <c r="Q626" s="103">
        <v>9204.4968571003465</v>
      </c>
    </row>
    <row r="627" spans="14:17" x14ac:dyDescent="0.55000000000000004">
      <c r="N627" s="103">
        <v>598</v>
      </c>
      <c r="O627" s="103">
        <v>8707.5273549047524</v>
      </c>
      <c r="P627" s="103">
        <v>14913.421184531298</v>
      </c>
      <c r="Q627" s="103">
        <v>9204.4968571003465</v>
      </c>
    </row>
    <row r="628" spans="14:17" x14ac:dyDescent="0.55000000000000004">
      <c r="N628" s="103">
        <v>599</v>
      </c>
      <c r="O628" s="103">
        <v>-1927.4782146463472</v>
      </c>
      <c r="P628" s="103">
        <v>14913.421184531298</v>
      </c>
      <c r="Q628" s="103">
        <v>9204.4968571003465</v>
      </c>
    </row>
    <row r="629" spans="14:17" x14ac:dyDescent="0.55000000000000004">
      <c r="N629" s="103">
        <v>600</v>
      </c>
      <c r="O629" s="103">
        <v>-5752.5243152882031</v>
      </c>
      <c r="P629" s="103">
        <v>14913.421184531298</v>
      </c>
      <c r="Q629" s="103">
        <v>9204.4968571003465</v>
      </c>
    </row>
    <row r="630" spans="14:17" x14ac:dyDescent="0.55000000000000004">
      <c r="N630" s="103">
        <v>601</v>
      </c>
      <c r="O630" s="103">
        <v>9663.4580174722396</v>
      </c>
      <c r="P630" s="103">
        <v>14913.421184531298</v>
      </c>
      <c r="Q630" s="103">
        <v>9204.4968571003465</v>
      </c>
    </row>
    <row r="631" spans="14:17" x14ac:dyDescent="0.55000000000000004">
      <c r="N631" s="103">
        <v>602</v>
      </c>
      <c r="O631" s="103">
        <v>15168.843173944384</v>
      </c>
      <c r="P631" s="103">
        <v>14913.421184531298</v>
      </c>
      <c r="Q631" s="103">
        <v>9204.4968571003465</v>
      </c>
    </row>
    <row r="632" spans="14:17" x14ac:dyDescent="0.55000000000000004">
      <c r="N632" s="103">
        <v>603</v>
      </c>
      <c r="O632" s="103">
        <v>15420.208396227219</v>
      </c>
      <c r="P632" s="103">
        <v>14913.421184531298</v>
      </c>
      <c r="Q632" s="103">
        <v>9204.4968571003465</v>
      </c>
    </row>
    <row r="633" spans="14:17" x14ac:dyDescent="0.55000000000000004">
      <c r="N633" s="103">
        <v>604</v>
      </c>
      <c r="O633" s="103">
        <v>-22472.092332869368</v>
      </c>
      <c r="P633" s="103">
        <v>14913.421184531298</v>
      </c>
      <c r="Q633" s="103">
        <v>9204.4968571003465</v>
      </c>
    </row>
    <row r="634" spans="14:17" x14ac:dyDescent="0.55000000000000004">
      <c r="N634" s="103">
        <v>605</v>
      </c>
      <c r="O634" s="103">
        <v>-2681.8287599838786</v>
      </c>
      <c r="P634" s="103">
        <v>14913.421184531298</v>
      </c>
      <c r="Q634" s="103">
        <v>9204.4968571003465</v>
      </c>
    </row>
    <row r="635" spans="14:17" x14ac:dyDescent="0.55000000000000004">
      <c r="N635" s="103">
        <v>606</v>
      </c>
      <c r="O635" s="103">
        <v>-7953.2451488003908</v>
      </c>
      <c r="P635" s="103">
        <v>14913.421184531298</v>
      </c>
      <c r="Q635" s="103">
        <v>9204.4968571003465</v>
      </c>
    </row>
    <row r="636" spans="14:17" x14ac:dyDescent="0.55000000000000004">
      <c r="N636" s="103">
        <v>607</v>
      </c>
      <c r="O636" s="103">
        <v>7073.6151772351268</v>
      </c>
      <c r="P636" s="103">
        <v>14913.421184531298</v>
      </c>
      <c r="Q636" s="103">
        <v>9204.4968571003465</v>
      </c>
    </row>
    <row r="637" spans="14:17" x14ac:dyDescent="0.55000000000000004">
      <c r="N637" s="103">
        <v>608</v>
      </c>
      <c r="O637" s="103">
        <v>-9564.405869252867</v>
      </c>
      <c r="P637" s="103">
        <v>14913.421184531298</v>
      </c>
      <c r="Q637" s="103">
        <v>9204.4968571003465</v>
      </c>
    </row>
    <row r="638" spans="14:17" x14ac:dyDescent="0.55000000000000004">
      <c r="N638" s="103">
        <v>609</v>
      </c>
      <c r="O638" s="103">
        <v>8618.0670275787888</v>
      </c>
      <c r="P638" s="103">
        <v>14913.421184531298</v>
      </c>
      <c r="Q638" s="103">
        <v>9204.4968571003465</v>
      </c>
    </row>
    <row r="639" spans="14:17" x14ac:dyDescent="0.55000000000000004">
      <c r="N639" s="103">
        <v>610</v>
      </c>
      <c r="O639" s="103">
        <v>5202.1282831749077</v>
      </c>
      <c r="P639" s="103">
        <v>14913.421184531298</v>
      </c>
      <c r="Q639" s="103">
        <v>9204.4968571003465</v>
      </c>
    </row>
    <row r="640" spans="14:17" x14ac:dyDescent="0.55000000000000004">
      <c r="N640" s="103">
        <v>611</v>
      </c>
      <c r="O640" s="103">
        <v>6228.0271419733281</v>
      </c>
      <c r="P640" s="103">
        <v>14913.421184531298</v>
      </c>
      <c r="Q640" s="103">
        <v>9204.4968571003465</v>
      </c>
    </row>
    <row r="641" spans="14:17" x14ac:dyDescent="0.55000000000000004">
      <c r="N641" s="103">
        <v>612</v>
      </c>
      <c r="O641" s="103">
        <v>-5719.7467740905813</v>
      </c>
      <c r="P641" s="103">
        <v>14913.421184531298</v>
      </c>
      <c r="Q641" s="103">
        <v>9204.4968571003465</v>
      </c>
    </row>
    <row r="642" spans="14:17" x14ac:dyDescent="0.55000000000000004">
      <c r="N642" s="103">
        <v>613</v>
      </c>
      <c r="O642" s="103">
        <v>-2908.703572060138</v>
      </c>
      <c r="P642" s="103">
        <v>14913.421184531298</v>
      </c>
      <c r="Q642" s="103">
        <v>9204.4968571003465</v>
      </c>
    </row>
    <row r="643" spans="14:17" x14ac:dyDescent="0.55000000000000004">
      <c r="N643" s="103">
        <v>614</v>
      </c>
      <c r="O643" s="103">
        <v>13103.988736517036</v>
      </c>
      <c r="P643" s="103">
        <v>14913.421184531298</v>
      </c>
      <c r="Q643" s="103">
        <v>9204.4968571003465</v>
      </c>
    </row>
    <row r="644" spans="14:17" x14ac:dyDescent="0.55000000000000004">
      <c r="N644" s="103">
        <v>615</v>
      </c>
      <c r="O644" s="103">
        <v>8180.9932490094398</v>
      </c>
      <c r="P644" s="103">
        <v>14913.421184531298</v>
      </c>
      <c r="Q644" s="103">
        <v>9204.4968571003465</v>
      </c>
    </row>
    <row r="645" spans="14:17" x14ac:dyDescent="0.55000000000000004">
      <c r="N645" s="103">
        <v>616</v>
      </c>
      <c r="O645" s="103">
        <v>-8.6330139975138991</v>
      </c>
      <c r="P645" s="103">
        <v>14913.421184531298</v>
      </c>
      <c r="Q645" s="103">
        <v>9204.4968571003465</v>
      </c>
    </row>
    <row r="646" spans="14:17" x14ac:dyDescent="0.55000000000000004">
      <c r="N646" s="103">
        <v>617</v>
      </c>
      <c r="O646" s="103">
        <v>6216.9283534186688</v>
      </c>
      <c r="P646" s="103">
        <v>14913.421184531298</v>
      </c>
      <c r="Q646" s="103">
        <v>9204.4968571003465</v>
      </c>
    </row>
    <row r="647" spans="14:17" x14ac:dyDescent="0.55000000000000004">
      <c r="N647" s="103">
        <v>618</v>
      </c>
      <c r="O647" s="103">
        <v>-2340.4684893577446</v>
      </c>
      <c r="P647" s="103">
        <v>14913.421184531298</v>
      </c>
      <c r="Q647" s="103">
        <v>9204.4968571003465</v>
      </c>
    </row>
    <row r="648" spans="14:17" x14ac:dyDescent="0.55000000000000004">
      <c r="N648" s="103">
        <v>619</v>
      </c>
      <c r="O648" s="103">
        <v>777673.54723172588</v>
      </c>
      <c r="P648" s="103">
        <v>14913.421184531298</v>
      </c>
      <c r="Q648" s="103">
        <v>9204.4968571003465</v>
      </c>
    </row>
    <row r="649" spans="14:17" x14ac:dyDescent="0.55000000000000004">
      <c r="N649" s="103">
        <v>620</v>
      </c>
      <c r="O649" s="103">
        <v>-99.621482135130464</v>
      </c>
      <c r="P649" s="103">
        <v>14913.421184531298</v>
      </c>
      <c r="Q649" s="103">
        <v>9204.4968571003465</v>
      </c>
    </row>
    <row r="650" spans="14:17" x14ac:dyDescent="0.55000000000000004">
      <c r="N650" s="103">
        <v>621</v>
      </c>
      <c r="O650" s="103">
        <v>1376.0722652453367</v>
      </c>
      <c r="P650" s="103">
        <v>14913.421184531298</v>
      </c>
      <c r="Q650" s="103">
        <v>9204.4968571003465</v>
      </c>
    </row>
    <row r="651" spans="14:17" x14ac:dyDescent="0.55000000000000004">
      <c r="N651" s="103">
        <v>622</v>
      </c>
      <c r="O651" s="103">
        <v>5428.0170522188746</v>
      </c>
      <c r="P651" s="103">
        <v>14913.421184531298</v>
      </c>
      <c r="Q651" s="103">
        <v>9204.4968571003465</v>
      </c>
    </row>
    <row r="652" spans="14:17" x14ac:dyDescent="0.55000000000000004">
      <c r="N652" s="103">
        <v>623</v>
      </c>
      <c r="O652" s="103">
        <v>-33530.469215630656</v>
      </c>
      <c r="P652" s="103">
        <v>14913.421184531298</v>
      </c>
      <c r="Q652" s="103">
        <v>9204.4968571003465</v>
      </c>
    </row>
    <row r="653" spans="14:17" x14ac:dyDescent="0.55000000000000004">
      <c r="N653" s="103">
        <v>624</v>
      </c>
      <c r="O653" s="103">
        <v>4656.5431073226591</v>
      </c>
      <c r="P653" s="103">
        <v>14913.421184531298</v>
      </c>
      <c r="Q653" s="103">
        <v>9204.4968571003465</v>
      </c>
    </row>
    <row r="654" spans="14:17" x14ac:dyDescent="0.55000000000000004">
      <c r="N654" s="103">
        <v>625</v>
      </c>
      <c r="O654" s="103">
        <v>17804.883374353485</v>
      </c>
      <c r="P654" s="103">
        <v>14913.421184531298</v>
      </c>
      <c r="Q654" s="103">
        <v>9204.4968571003465</v>
      </c>
    </row>
    <row r="655" spans="14:17" x14ac:dyDescent="0.55000000000000004">
      <c r="N655" s="103">
        <v>626</v>
      </c>
      <c r="O655" s="103">
        <v>13870.282120308802</v>
      </c>
      <c r="P655" s="103">
        <v>14913.421184531298</v>
      </c>
      <c r="Q655" s="103">
        <v>9204.4968571003465</v>
      </c>
    </row>
    <row r="656" spans="14:17" x14ac:dyDescent="0.55000000000000004">
      <c r="N656" s="103">
        <v>627</v>
      </c>
      <c r="O656" s="103">
        <v>-666.11265047728102</v>
      </c>
      <c r="P656" s="103">
        <v>14913.421184531298</v>
      </c>
      <c r="Q656" s="103">
        <v>9204.4968571003465</v>
      </c>
    </row>
    <row r="657" spans="14:17" x14ac:dyDescent="0.55000000000000004">
      <c r="N657" s="103">
        <v>628</v>
      </c>
      <c r="O657" s="103">
        <v>10902.653581863578</v>
      </c>
      <c r="P657" s="103">
        <v>14913.421184531298</v>
      </c>
      <c r="Q657" s="103">
        <v>9204.4968571003465</v>
      </c>
    </row>
    <row r="658" spans="14:17" x14ac:dyDescent="0.55000000000000004">
      <c r="N658" s="103">
        <v>629</v>
      </c>
      <c r="O658" s="103">
        <v>15706.023133805293</v>
      </c>
      <c r="P658" s="103">
        <v>14913.421184531298</v>
      </c>
      <c r="Q658" s="103">
        <v>9204.4968571003465</v>
      </c>
    </row>
    <row r="659" spans="14:17" x14ac:dyDescent="0.55000000000000004">
      <c r="N659" s="103">
        <v>630</v>
      </c>
      <c r="O659" s="103">
        <v>-8457.0341515513028</v>
      </c>
      <c r="P659" s="103">
        <v>14913.421184531298</v>
      </c>
      <c r="Q659" s="103">
        <v>9204.4968571003465</v>
      </c>
    </row>
    <row r="660" spans="14:17" x14ac:dyDescent="0.55000000000000004">
      <c r="N660" s="103">
        <v>631</v>
      </c>
      <c r="O660" s="103">
        <v>-1937.673859557899</v>
      </c>
      <c r="P660" s="103">
        <v>14913.421184531298</v>
      </c>
      <c r="Q660" s="103">
        <v>9204.4968571003465</v>
      </c>
    </row>
    <row r="661" spans="14:17" x14ac:dyDescent="0.55000000000000004">
      <c r="N661" s="103">
        <v>632</v>
      </c>
      <c r="O661" s="103">
        <v>-874.70449729263419</v>
      </c>
      <c r="P661" s="103">
        <v>14913.421184531298</v>
      </c>
      <c r="Q661" s="103">
        <v>9204.4968571003465</v>
      </c>
    </row>
    <row r="662" spans="14:17" x14ac:dyDescent="0.55000000000000004">
      <c r="N662" s="103">
        <v>633</v>
      </c>
      <c r="O662" s="103">
        <v>-6820.344190378948</v>
      </c>
      <c r="P662" s="103">
        <v>14913.421184531298</v>
      </c>
      <c r="Q662" s="103">
        <v>9204.4968571003465</v>
      </c>
    </row>
    <row r="663" spans="14:17" x14ac:dyDescent="0.55000000000000004">
      <c r="N663" s="103">
        <v>634</v>
      </c>
      <c r="O663" s="103">
        <v>14281.114628765903</v>
      </c>
      <c r="P663" s="103">
        <v>14913.421184531298</v>
      </c>
      <c r="Q663" s="103">
        <v>9204.4968571003465</v>
      </c>
    </row>
    <row r="664" spans="14:17" x14ac:dyDescent="0.55000000000000004">
      <c r="N664" s="103">
        <v>635</v>
      </c>
      <c r="O664" s="103">
        <v>-3055.7728976653361</v>
      </c>
      <c r="P664" s="103">
        <v>14913.421184531298</v>
      </c>
      <c r="Q664" s="103">
        <v>9204.4968571003465</v>
      </c>
    </row>
    <row r="665" spans="14:17" x14ac:dyDescent="0.55000000000000004">
      <c r="N665" s="103">
        <v>636</v>
      </c>
      <c r="O665" s="103">
        <v>4509.5354331839144</v>
      </c>
      <c r="P665" s="103">
        <v>14913.421184531298</v>
      </c>
      <c r="Q665" s="103">
        <v>9204.4968571003465</v>
      </c>
    </row>
    <row r="666" spans="14:17" x14ac:dyDescent="0.55000000000000004">
      <c r="N666" s="103">
        <v>637</v>
      </c>
      <c r="O666" s="103">
        <v>-805.10261942395391</v>
      </c>
      <c r="P666" s="103">
        <v>14913.421184531298</v>
      </c>
      <c r="Q666" s="103">
        <v>9204.4968571003465</v>
      </c>
    </row>
    <row r="667" spans="14:17" x14ac:dyDescent="0.55000000000000004">
      <c r="N667" s="103">
        <v>638</v>
      </c>
      <c r="O667" s="103">
        <v>-7869.5208536478167</v>
      </c>
      <c r="P667" s="103">
        <v>14913.421184531298</v>
      </c>
      <c r="Q667" s="103">
        <v>9204.4968571003465</v>
      </c>
    </row>
    <row r="668" spans="14:17" x14ac:dyDescent="0.55000000000000004">
      <c r="N668" s="103">
        <v>639</v>
      </c>
      <c r="O668" s="103">
        <v>-13482.658787532073</v>
      </c>
      <c r="P668" s="103">
        <v>14913.421184531298</v>
      </c>
      <c r="Q668" s="103">
        <v>9204.4968571003465</v>
      </c>
    </row>
    <row r="669" spans="14:17" x14ac:dyDescent="0.55000000000000004">
      <c r="N669" s="103">
        <v>640</v>
      </c>
      <c r="O669" s="103">
        <v>8668.8422089949745</v>
      </c>
      <c r="P669" s="103">
        <v>14913.421184531298</v>
      </c>
      <c r="Q669" s="103">
        <v>9204.4968571003465</v>
      </c>
    </row>
    <row r="670" spans="14:17" x14ac:dyDescent="0.55000000000000004">
      <c r="N670" s="103">
        <v>641</v>
      </c>
      <c r="O670" s="103">
        <v>-27828.433389287558</v>
      </c>
      <c r="P670" s="103">
        <v>14913.421184531298</v>
      </c>
      <c r="Q670" s="103">
        <v>9204.4968571003465</v>
      </c>
    </row>
    <row r="671" spans="14:17" x14ac:dyDescent="0.55000000000000004">
      <c r="N671" s="103">
        <v>642</v>
      </c>
      <c r="O671" s="103">
        <v>8519.3045089905645</v>
      </c>
      <c r="P671" s="103">
        <v>14913.421184531298</v>
      </c>
      <c r="Q671" s="103">
        <v>9204.4968571003465</v>
      </c>
    </row>
    <row r="672" spans="14:17" x14ac:dyDescent="0.55000000000000004">
      <c r="N672" s="103">
        <v>643</v>
      </c>
      <c r="O672" s="103">
        <v>8870.8115883646115</v>
      </c>
      <c r="P672" s="103">
        <v>14913.421184531298</v>
      </c>
      <c r="Q672" s="103">
        <v>9204.4968571003465</v>
      </c>
    </row>
    <row r="673" spans="14:17" x14ac:dyDescent="0.55000000000000004">
      <c r="N673" s="103">
        <v>644</v>
      </c>
      <c r="O673" s="103">
        <v>3654.2223926107245</v>
      </c>
      <c r="P673" s="103">
        <v>14913.421184531298</v>
      </c>
      <c r="Q673" s="103">
        <v>9204.4968571003465</v>
      </c>
    </row>
    <row r="674" spans="14:17" x14ac:dyDescent="0.55000000000000004">
      <c r="N674" s="103">
        <v>645</v>
      </c>
      <c r="O674" s="103">
        <v>113843.51101240946</v>
      </c>
      <c r="P674" s="103">
        <v>14913.421184531298</v>
      </c>
      <c r="Q674" s="103">
        <v>9204.4968571003465</v>
      </c>
    </row>
    <row r="675" spans="14:17" x14ac:dyDescent="0.55000000000000004">
      <c r="N675" s="103">
        <v>646</v>
      </c>
      <c r="O675" s="103">
        <v>-6767.215492842487</v>
      </c>
      <c r="P675" s="103">
        <v>14913.421184531298</v>
      </c>
      <c r="Q675" s="103">
        <v>9204.4968571003465</v>
      </c>
    </row>
    <row r="676" spans="14:17" x14ac:dyDescent="0.55000000000000004">
      <c r="N676" s="103">
        <v>647</v>
      </c>
      <c r="O676" s="103">
        <v>14191.237896885825</v>
      </c>
      <c r="P676" s="103">
        <v>14913.421184531298</v>
      </c>
      <c r="Q676" s="103">
        <v>9204.4968571003465</v>
      </c>
    </row>
    <row r="677" spans="14:17" x14ac:dyDescent="0.55000000000000004">
      <c r="N677" s="103">
        <v>648</v>
      </c>
      <c r="O677" s="103">
        <v>15825.507301709376</v>
      </c>
      <c r="P677" s="103">
        <v>14913.421184531298</v>
      </c>
      <c r="Q677" s="103">
        <v>9204.4968571003465</v>
      </c>
    </row>
    <row r="678" spans="14:17" x14ac:dyDescent="0.55000000000000004">
      <c r="N678" s="103">
        <v>649</v>
      </c>
      <c r="O678" s="103">
        <v>7763.8117515378017</v>
      </c>
      <c r="P678" s="103">
        <v>14913.421184531298</v>
      </c>
      <c r="Q678" s="103">
        <v>9204.4968571003465</v>
      </c>
    </row>
    <row r="679" spans="14:17" x14ac:dyDescent="0.55000000000000004">
      <c r="N679" s="103">
        <v>650</v>
      </c>
      <c r="O679" s="103">
        <v>-8490.1635550198662</v>
      </c>
      <c r="P679" s="103">
        <v>14913.421184531298</v>
      </c>
      <c r="Q679" s="103">
        <v>9204.4968571003465</v>
      </c>
    </row>
    <row r="680" spans="14:17" x14ac:dyDescent="0.55000000000000004">
      <c r="N680" s="103">
        <v>651</v>
      </c>
      <c r="O680" s="103">
        <v>17428.349602236249</v>
      </c>
      <c r="P680" s="103">
        <v>14913.421184531298</v>
      </c>
      <c r="Q680" s="103">
        <v>9204.4968571003465</v>
      </c>
    </row>
    <row r="681" spans="14:17" x14ac:dyDescent="0.55000000000000004">
      <c r="N681" s="103">
        <v>652</v>
      </c>
      <c r="O681" s="103">
        <v>8312.5682484571298</v>
      </c>
      <c r="P681" s="103">
        <v>14913.421184531298</v>
      </c>
      <c r="Q681" s="103">
        <v>9204.4968571003465</v>
      </c>
    </row>
    <row r="682" spans="14:17" x14ac:dyDescent="0.55000000000000004">
      <c r="N682" s="103">
        <v>653</v>
      </c>
      <c r="O682" s="103">
        <v>-3017.2660774673959</v>
      </c>
      <c r="P682" s="103">
        <v>14913.421184531298</v>
      </c>
      <c r="Q682" s="103">
        <v>9204.4968571003465</v>
      </c>
    </row>
    <row r="683" spans="14:17" x14ac:dyDescent="0.55000000000000004">
      <c r="N683" s="103">
        <v>654</v>
      </c>
      <c r="O683" s="103">
        <v>14195.259990171568</v>
      </c>
      <c r="P683" s="103">
        <v>14913.421184531298</v>
      </c>
      <c r="Q683" s="103">
        <v>9204.4968571003465</v>
      </c>
    </row>
    <row r="684" spans="14:17" x14ac:dyDescent="0.55000000000000004">
      <c r="N684" s="103">
        <v>655</v>
      </c>
      <c r="O684" s="103">
        <v>9368.7664682105606</v>
      </c>
      <c r="P684" s="103">
        <v>14913.421184531298</v>
      </c>
      <c r="Q684" s="103">
        <v>9204.4968571003465</v>
      </c>
    </row>
    <row r="685" spans="14:17" x14ac:dyDescent="0.55000000000000004">
      <c r="N685" s="103">
        <v>656</v>
      </c>
      <c r="O685" s="103">
        <v>-763.60513121085751</v>
      </c>
      <c r="P685" s="103">
        <v>14913.421184531298</v>
      </c>
      <c r="Q685" s="103">
        <v>9204.4968571003465</v>
      </c>
    </row>
    <row r="686" spans="14:17" x14ac:dyDescent="0.55000000000000004">
      <c r="N686" s="103">
        <v>657</v>
      </c>
      <c r="O686" s="103">
        <v>135.56067586325207</v>
      </c>
      <c r="P686" s="103">
        <v>14913.421184531298</v>
      </c>
      <c r="Q686" s="103">
        <v>9204.4968571003465</v>
      </c>
    </row>
    <row r="687" spans="14:17" x14ac:dyDescent="0.55000000000000004">
      <c r="N687" s="103">
        <v>658</v>
      </c>
      <c r="O687" s="103">
        <v>9759.9557180832908</v>
      </c>
      <c r="P687" s="103">
        <v>14913.421184531298</v>
      </c>
      <c r="Q687" s="103">
        <v>9204.4968571003465</v>
      </c>
    </row>
    <row r="688" spans="14:17" x14ac:dyDescent="0.55000000000000004">
      <c r="N688" s="103">
        <v>659</v>
      </c>
      <c r="O688" s="103">
        <v>7623.4654296113276</v>
      </c>
      <c r="P688" s="103">
        <v>14913.421184531298</v>
      </c>
      <c r="Q688" s="103">
        <v>9204.4968571003465</v>
      </c>
    </row>
    <row r="689" spans="14:17" x14ac:dyDescent="0.55000000000000004">
      <c r="N689" s="103">
        <v>660</v>
      </c>
      <c r="O689" s="103">
        <v>-1307.3534494176674</v>
      </c>
      <c r="P689" s="103">
        <v>14913.421184531298</v>
      </c>
      <c r="Q689" s="103">
        <v>9204.4968571003465</v>
      </c>
    </row>
    <row r="690" spans="14:17" x14ac:dyDescent="0.55000000000000004">
      <c r="N690" s="103">
        <v>661</v>
      </c>
      <c r="O690" s="103">
        <v>9993.9904752272269</v>
      </c>
      <c r="P690" s="103">
        <v>14913.421184531298</v>
      </c>
      <c r="Q690" s="103">
        <v>9204.4968571003465</v>
      </c>
    </row>
    <row r="691" spans="14:17" x14ac:dyDescent="0.55000000000000004">
      <c r="N691" s="103">
        <v>662</v>
      </c>
      <c r="O691" s="103">
        <v>-2064.522770692618</v>
      </c>
      <c r="P691" s="103">
        <v>14913.421184531298</v>
      </c>
      <c r="Q691" s="103">
        <v>9204.4968571003465</v>
      </c>
    </row>
    <row r="692" spans="14:17" x14ac:dyDescent="0.55000000000000004">
      <c r="N692" s="103">
        <v>663</v>
      </c>
      <c r="O692" s="103">
        <v>6364.9043116665862</v>
      </c>
      <c r="P692" s="103">
        <v>14913.421184531298</v>
      </c>
      <c r="Q692" s="103">
        <v>9204.4968571003465</v>
      </c>
    </row>
    <row r="693" spans="14:17" x14ac:dyDescent="0.55000000000000004">
      <c r="N693" s="103">
        <v>664</v>
      </c>
      <c r="O693" s="103">
        <v>30283.854818267577</v>
      </c>
      <c r="P693" s="103">
        <v>14913.421184531298</v>
      </c>
      <c r="Q693" s="103">
        <v>9204.4968571003465</v>
      </c>
    </row>
    <row r="694" spans="14:17" x14ac:dyDescent="0.55000000000000004">
      <c r="N694" s="103">
        <v>665</v>
      </c>
      <c r="O694" s="103">
        <v>5318.0485274242201</v>
      </c>
      <c r="P694" s="103">
        <v>14913.421184531298</v>
      </c>
      <c r="Q694" s="103">
        <v>9204.4968571003465</v>
      </c>
    </row>
    <row r="695" spans="14:17" x14ac:dyDescent="0.55000000000000004">
      <c r="N695" s="103">
        <v>666</v>
      </c>
      <c r="O695" s="103">
        <v>7318.4037152484307</v>
      </c>
      <c r="P695" s="103">
        <v>14913.421184531298</v>
      </c>
      <c r="Q695" s="103">
        <v>9204.4968571003465</v>
      </c>
    </row>
    <row r="696" spans="14:17" x14ac:dyDescent="0.55000000000000004">
      <c r="N696" s="103">
        <v>667</v>
      </c>
      <c r="O696" s="103">
        <v>7376.8371275431646</v>
      </c>
      <c r="P696" s="103">
        <v>14913.421184531298</v>
      </c>
      <c r="Q696" s="103">
        <v>9204.4968571003465</v>
      </c>
    </row>
    <row r="697" spans="14:17" x14ac:dyDescent="0.55000000000000004">
      <c r="N697" s="103">
        <v>668</v>
      </c>
      <c r="O697" s="103">
        <v>-3892.8865655333775</v>
      </c>
      <c r="P697" s="103">
        <v>14913.421184531298</v>
      </c>
      <c r="Q697" s="103">
        <v>9204.4968571003465</v>
      </c>
    </row>
    <row r="698" spans="14:17" x14ac:dyDescent="0.55000000000000004">
      <c r="N698" s="103">
        <v>669</v>
      </c>
      <c r="O698" s="103">
        <v>4026.5368968322</v>
      </c>
      <c r="P698" s="103">
        <v>14913.421184531298</v>
      </c>
      <c r="Q698" s="103">
        <v>9204.4968571003465</v>
      </c>
    </row>
    <row r="699" spans="14:17" x14ac:dyDescent="0.55000000000000004">
      <c r="N699" s="103">
        <v>670</v>
      </c>
      <c r="O699" s="103">
        <v>12585.002781135081</v>
      </c>
      <c r="P699" s="103">
        <v>14913.421184531298</v>
      </c>
      <c r="Q699" s="103">
        <v>9204.4968571003465</v>
      </c>
    </row>
    <row r="700" spans="14:17" x14ac:dyDescent="0.55000000000000004">
      <c r="N700" s="103">
        <v>671</v>
      </c>
      <c r="O700" s="103">
        <v>6736.1309292089836</v>
      </c>
      <c r="P700" s="103">
        <v>14913.421184531298</v>
      </c>
      <c r="Q700" s="103">
        <v>9204.4968571003465</v>
      </c>
    </row>
    <row r="701" spans="14:17" x14ac:dyDescent="0.55000000000000004">
      <c r="N701" s="103">
        <v>672</v>
      </c>
      <c r="O701" s="103">
        <v>10359.750855291009</v>
      </c>
      <c r="P701" s="103">
        <v>14913.421184531298</v>
      </c>
      <c r="Q701" s="103">
        <v>9204.4968571003465</v>
      </c>
    </row>
    <row r="702" spans="14:17" x14ac:dyDescent="0.55000000000000004">
      <c r="N702" s="103">
        <v>673</v>
      </c>
      <c r="O702" s="103">
        <v>9076.7211076188069</v>
      </c>
      <c r="P702" s="103">
        <v>14913.421184531298</v>
      </c>
      <c r="Q702" s="103">
        <v>9204.4968571003465</v>
      </c>
    </row>
    <row r="703" spans="14:17" x14ac:dyDescent="0.55000000000000004">
      <c r="N703" s="103">
        <v>674</v>
      </c>
      <c r="O703" s="103">
        <v>6639.6623996311364</v>
      </c>
      <c r="P703" s="103">
        <v>14913.421184531298</v>
      </c>
      <c r="Q703" s="103">
        <v>9204.4968571003465</v>
      </c>
    </row>
    <row r="704" spans="14:17" x14ac:dyDescent="0.55000000000000004">
      <c r="N704" s="103">
        <v>675</v>
      </c>
      <c r="O704" s="103">
        <v>-1174.6061223136285</v>
      </c>
      <c r="P704" s="103">
        <v>14913.421184531298</v>
      </c>
      <c r="Q704" s="103">
        <v>9204.4968571003465</v>
      </c>
    </row>
    <row r="705" spans="14:17" x14ac:dyDescent="0.55000000000000004">
      <c r="N705" s="103">
        <v>676</v>
      </c>
      <c r="O705" s="103">
        <v>6070.9811332714016</v>
      </c>
      <c r="P705" s="103">
        <v>14913.421184531298</v>
      </c>
      <c r="Q705" s="103">
        <v>9204.4968571003465</v>
      </c>
    </row>
    <row r="706" spans="14:17" x14ac:dyDescent="0.55000000000000004">
      <c r="N706" s="103">
        <v>677</v>
      </c>
      <c r="O706" s="103">
        <v>13007.455486842478</v>
      </c>
      <c r="P706" s="103">
        <v>14913.421184531298</v>
      </c>
      <c r="Q706" s="103">
        <v>9204.4968571003465</v>
      </c>
    </row>
    <row r="707" spans="14:17" x14ac:dyDescent="0.55000000000000004">
      <c r="N707" s="103">
        <v>678</v>
      </c>
      <c r="O707" s="103">
        <v>283.49815555181431</v>
      </c>
      <c r="P707" s="103">
        <v>14913.421184531298</v>
      </c>
      <c r="Q707" s="103">
        <v>9204.4968571003465</v>
      </c>
    </row>
    <row r="708" spans="14:17" x14ac:dyDescent="0.55000000000000004">
      <c r="N708" s="103">
        <v>679</v>
      </c>
      <c r="O708" s="103">
        <v>-157225.59031732159</v>
      </c>
      <c r="P708" s="103">
        <v>14913.421184531298</v>
      </c>
      <c r="Q708" s="103">
        <v>9204.4968571003465</v>
      </c>
    </row>
    <row r="709" spans="14:17" x14ac:dyDescent="0.55000000000000004">
      <c r="N709" s="103">
        <v>680</v>
      </c>
      <c r="O709" s="103">
        <v>6907.3553964102048</v>
      </c>
      <c r="P709" s="103">
        <v>14913.421184531298</v>
      </c>
      <c r="Q709" s="103">
        <v>9204.4968571003465</v>
      </c>
    </row>
    <row r="710" spans="14:17" x14ac:dyDescent="0.55000000000000004">
      <c r="N710" s="103">
        <v>681</v>
      </c>
      <c r="O710" s="103">
        <v>38598.320762015581</v>
      </c>
      <c r="P710" s="103">
        <v>14913.421184531298</v>
      </c>
      <c r="Q710" s="103">
        <v>9204.4968571003465</v>
      </c>
    </row>
    <row r="711" spans="14:17" x14ac:dyDescent="0.55000000000000004">
      <c r="N711" s="103">
        <v>682</v>
      </c>
      <c r="O711" s="103">
        <v>5265.0963420337912</v>
      </c>
      <c r="P711" s="103">
        <v>14913.421184531298</v>
      </c>
      <c r="Q711" s="103">
        <v>9204.4968571003465</v>
      </c>
    </row>
    <row r="712" spans="14:17" x14ac:dyDescent="0.55000000000000004">
      <c r="N712" s="103">
        <v>683</v>
      </c>
      <c r="O712" s="103">
        <v>21153.933098982674</v>
      </c>
      <c r="P712" s="103">
        <v>14913.421184531298</v>
      </c>
      <c r="Q712" s="103">
        <v>9204.4968571003465</v>
      </c>
    </row>
    <row r="713" spans="14:17" x14ac:dyDescent="0.55000000000000004">
      <c r="N713" s="103">
        <v>684</v>
      </c>
      <c r="O713" s="103">
        <v>6207.7838564116737</v>
      </c>
      <c r="P713" s="103">
        <v>14913.421184531298</v>
      </c>
      <c r="Q713" s="103">
        <v>9204.4968571003465</v>
      </c>
    </row>
    <row r="714" spans="14:17" x14ac:dyDescent="0.55000000000000004">
      <c r="N714" s="103">
        <v>685</v>
      </c>
      <c r="O714" s="103">
        <v>6034.1055336905956</v>
      </c>
      <c r="P714" s="103">
        <v>14913.421184531298</v>
      </c>
      <c r="Q714" s="103">
        <v>9204.4968571003465</v>
      </c>
    </row>
    <row r="715" spans="14:17" x14ac:dyDescent="0.55000000000000004">
      <c r="N715" s="103">
        <v>686</v>
      </c>
      <c r="O715" s="103">
        <v>69343.175130940581</v>
      </c>
      <c r="P715" s="103">
        <v>14913.421184531298</v>
      </c>
      <c r="Q715" s="103">
        <v>9204.4968571003465</v>
      </c>
    </row>
    <row r="716" spans="14:17" x14ac:dyDescent="0.55000000000000004">
      <c r="N716" s="103">
        <v>687</v>
      </c>
      <c r="O716" s="103">
        <v>26428.119457375407</v>
      </c>
      <c r="P716" s="103">
        <v>14913.421184531298</v>
      </c>
      <c r="Q716" s="103">
        <v>9204.4968571003465</v>
      </c>
    </row>
    <row r="717" spans="14:17" x14ac:dyDescent="0.55000000000000004">
      <c r="N717" s="103">
        <v>688</v>
      </c>
      <c r="O717" s="103">
        <v>113912.47460405511</v>
      </c>
      <c r="P717" s="103">
        <v>14913.421184531298</v>
      </c>
      <c r="Q717" s="103">
        <v>9204.4968571003465</v>
      </c>
    </row>
    <row r="718" spans="14:17" x14ac:dyDescent="0.55000000000000004">
      <c r="N718" s="103">
        <v>689</v>
      </c>
      <c r="O718" s="103">
        <v>-2162.6771640803254</v>
      </c>
      <c r="P718" s="103">
        <v>14913.421184531298</v>
      </c>
      <c r="Q718" s="103">
        <v>9204.4968571003465</v>
      </c>
    </row>
    <row r="719" spans="14:17" x14ac:dyDescent="0.55000000000000004">
      <c r="N719" s="103">
        <v>690</v>
      </c>
      <c r="O719" s="103">
        <v>4959.572552406652</v>
      </c>
      <c r="P719" s="103">
        <v>14913.421184531298</v>
      </c>
      <c r="Q719" s="103">
        <v>9204.4968571003465</v>
      </c>
    </row>
    <row r="720" spans="14:17" x14ac:dyDescent="0.55000000000000004">
      <c r="N720" s="103">
        <v>691</v>
      </c>
      <c r="O720" s="103">
        <v>-6080.3272261028369</v>
      </c>
      <c r="P720" s="103">
        <v>14913.421184531298</v>
      </c>
      <c r="Q720" s="103">
        <v>9204.4968571003465</v>
      </c>
    </row>
    <row r="721" spans="14:17" x14ac:dyDescent="0.55000000000000004">
      <c r="N721" s="103">
        <v>692</v>
      </c>
      <c r="O721" s="103">
        <v>-14612.604855923564</v>
      </c>
      <c r="P721" s="103">
        <v>14913.421184531298</v>
      </c>
      <c r="Q721" s="103">
        <v>9204.4968571003465</v>
      </c>
    </row>
    <row r="722" spans="14:17" x14ac:dyDescent="0.55000000000000004">
      <c r="N722" s="103">
        <v>693</v>
      </c>
      <c r="O722" s="103">
        <v>399.83927069139463</v>
      </c>
      <c r="P722" s="103">
        <v>14913.421184531298</v>
      </c>
      <c r="Q722" s="103">
        <v>9204.4968571003465</v>
      </c>
    </row>
    <row r="723" spans="14:17" x14ac:dyDescent="0.55000000000000004">
      <c r="N723" s="103">
        <v>694</v>
      </c>
      <c r="O723" s="103">
        <v>9458.8367285005588</v>
      </c>
      <c r="P723" s="103">
        <v>14913.421184531298</v>
      </c>
      <c r="Q723" s="103">
        <v>9204.4968571003465</v>
      </c>
    </row>
    <row r="724" spans="14:17" x14ac:dyDescent="0.55000000000000004">
      <c r="N724" s="103">
        <v>695</v>
      </c>
      <c r="O724" s="103">
        <v>7259.717325098678</v>
      </c>
      <c r="P724" s="103">
        <v>14913.421184531298</v>
      </c>
      <c r="Q724" s="103">
        <v>9204.4968571003465</v>
      </c>
    </row>
    <row r="725" spans="14:17" x14ac:dyDescent="0.55000000000000004">
      <c r="N725" s="103">
        <v>696</v>
      </c>
      <c r="O725" s="103">
        <v>-27583.805887159855</v>
      </c>
      <c r="P725" s="103">
        <v>14913.421184531298</v>
      </c>
      <c r="Q725" s="103">
        <v>9204.4968571003465</v>
      </c>
    </row>
    <row r="726" spans="14:17" x14ac:dyDescent="0.55000000000000004">
      <c r="N726" s="103">
        <v>697</v>
      </c>
      <c r="O726" s="103">
        <v>-42847.148477327239</v>
      </c>
      <c r="P726" s="103">
        <v>14913.421184531298</v>
      </c>
      <c r="Q726" s="103">
        <v>9204.4968571003465</v>
      </c>
    </row>
    <row r="727" spans="14:17" x14ac:dyDescent="0.55000000000000004">
      <c r="N727" s="103">
        <v>698</v>
      </c>
      <c r="O727" s="103">
        <v>-6694.127960791413</v>
      </c>
      <c r="P727" s="103">
        <v>14913.421184531298</v>
      </c>
      <c r="Q727" s="103">
        <v>9204.4968571003465</v>
      </c>
    </row>
    <row r="728" spans="14:17" x14ac:dyDescent="0.55000000000000004">
      <c r="N728" s="103">
        <v>699</v>
      </c>
      <c r="O728" s="103">
        <v>-90380.140389932843</v>
      </c>
      <c r="P728" s="103">
        <v>14913.421184531298</v>
      </c>
      <c r="Q728" s="103">
        <v>9204.4968571003465</v>
      </c>
    </row>
    <row r="729" spans="14:17" x14ac:dyDescent="0.55000000000000004">
      <c r="N729" s="103">
        <v>700</v>
      </c>
      <c r="O729" s="103">
        <v>5326.2871926066191</v>
      </c>
      <c r="P729" s="103">
        <v>14913.421184531298</v>
      </c>
      <c r="Q729" s="103">
        <v>9204.4968571003465</v>
      </c>
    </row>
    <row r="730" spans="14:17" x14ac:dyDescent="0.55000000000000004">
      <c r="N730" s="103">
        <v>701</v>
      </c>
      <c r="O730" s="103">
        <v>14375.94366483912</v>
      </c>
      <c r="P730" s="103">
        <v>14913.421184531298</v>
      </c>
      <c r="Q730" s="103">
        <v>9204.4968571003465</v>
      </c>
    </row>
    <row r="731" spans="14:17" x14ac:dyDescent="0.55000000000000004">
      <c r="N731" s="103">
        <v>702</v>
      </c>
      <c r="O731" s="103">
        <v>4686.3717626692332</v>
      </c>
      <c r="P731" s="103">
        <v>14913.421184531298</v>
      </c>
      <c r="Q731" s="103">
        <v>9204.4968571003465</v>
      </c>
    </row>
    <row r="732" spans="14:17" x14ac:dyDescent="0.55000000000000004">
      <c r="N732" s="103">
        <v>703</v>
      </c>
      <c r="O732" s="103">
        <v>-2189.1789323043031</v>
      </c>
      <c r="P732" s="103">
        <v>14913.421184531298</v>
      </c>
      <c r="Q732" s="103">
        <v>9204.4968571003465</v>
      </c>
    </row>
    <row r="733" spans="14:17" x14ac:dyDescent="0.55000000000000004">
      <c r="N733" s="103">
        <v>704</v>
      </c>
      <c r="O733" s="103">
        <v>7762.1827408333775</v>
      </c>
      <c r="P733" s="103">
        <v>14913.421184531298</v>
      </c>
      <c r="Q733" s="103">
        <v>9204.4968571003465</v>
      </c>
    </row>
    <row r="734" spans="14:17" x14ac:dyDescent="0.55000000000000004">
      <c r="N734" s="103">
        <v>705</v>
      </c>
      <c r="O734" s="103">
        <v>-1527.3743043909426</v>
      </c>
      <c r="P734" s="103">
        <v>14913.421184531298</v>
      </c>
      <c r="Q734" s="103">
        <v>9204.4968571003465</v>
      </c>
    </row>
    <row r="735" spans="14:17" x14ac:dyDescent="0.55000000000000004">
      <c r="N735" s="103">
        <v>706</v>
      </c>
      <c r="O735" s="103">
        <v>6012.9920453656741</v>
      </c>
      <c r="P735" s="103">
        <v>14913.421184531298</v>
      </c>
      <c r="Q735" s="103">
        <v>9204.4968571003465</v>
      </c>
    </row>
    <row r="736" spans="14:17" x14ac:dyDescent="0.55000000000000004">
      <c r="N736" s="103">
        <v>707</v>
      </c>
      <c r="O736" s="103">
        <v>-19656.02272069937</v>
      </c>
      <c r="P736" s="103">
        <v>14913.421184531298</v>
      </c>
      <c r="Q736" s="103">
        <v>9204.4968571003465</v>
      </c>
    </row>
    <row r="737" spans="14:17" x14ac:dyDescent="0.55000000000000004">
      <c r="N737" s="103">
        <v>708</v>
      </c>
      <c r="O737" s="103">
        <v>10387.606573957673</v>
      </c>
      <c r="P737" s="103">
        <v>14913.421184531298</v>
      </c>
      <c r="Q737" s="103">
        <v>9204.4968571003465</v>
      </c>
    </row>
    <row r="738" spans="14:17" x14ac:dyDescent="0.55000000000000004">
      <c r="N738" s="103">
        <v>709</v>
      </c>
      <c r="O738" s="103">
        <v>5327.2638711542322</v>
      </c>
      <c r="P738" s="103">
        <v>14913.421184531298</v>
      </c>
      <c r="Q738" s="103">
        <v>9204.4968571003465</v>
      </c>
    </row>
    <row r="739" spans="14:17" x14ac:dyDescent="0.55000000000000004">
      <c r="N739" s="103">
        <v>710</v>
      </c>
      <c r="O739" s="103">
        <v>6450.9575219198414</v>
      </c>
      <c r="P739" s="103">
        <v>14913.421184531298</v>
      </c>
      <c r="Q739" s="103">
        <v>9204.4968571003465</v>
      </c>
    </row>
    <row r="740" spans="14:17" x14ac:dyDescent="0.55000000000000004">
      <c r="N740" s="103">
        <v>711</v>
      </c>
      <c r="O740" s="103">
        <v>5008.7577544210189</v>
      </c>
      <c r="P740" s="103">
        <v>14913.421184531298</v>
      </c>
      <c r="Q740" s="103">
        <v>9204.4968571003465</v>
      </c>
    </row>
    <row r="741" spans="14:17" x14ac:dyDescent="0.55000000000000004">
      <c r="N741" s="103">
        <v>712</v>
      </c>
      <c r="O741" s="103">
        <v>-3191.4915624012551</v>
      </c>
      <c r="P741" s="103">
        <v>14913.421184531298</v>
      </c>
      <c r="Q741" s="103">
        <v>9204.4968571003465</v>
      </c>
    </row>
    <row r="742" spans="14:17" x14ac:dyDescent="0.55000000000000004">
      <c r="N742" s="103">
        <v>713</v>
      </c>
      <c r="O742" s="103">
        <v>6144.8298558778843</v>
      </c>
      <c r="P742" s="103">
        <v>14913.421184531298</v>
      </c>
      <c r="Q742" s="103">
        <v>9204.4968571003465</v>
      </c>
    </row>
    <row r="743" spans="14:17" x14ac:dyDescent="0.55000000000000004">
      <c r="N743" s="103">
        <v>714</v>
      </c>
      <c r="O743" s="103">
        <v>4316.2793571075244</v>
      </c>
      <c r="P743" s="103">
        <v>14913.421184531298</v>
      </c>
      <c r="Q743" s="103">
        <v>9204.4968571003465</v>
      </c>
    </row>
    <row r="744" spans="14:17" x14ac:dyDescent="0.55000000000000004">
      <c r="N744" s="103">
        <v>715</v>
      </c>
      <c r="O744" s="103">
        <v>16495.154373635709</v>
      </c>
      <c r="P744" s="103">
        <v>14913.421184531298</v>
      </c>
      <c r="Q744" s="103">
        <v>9204.4968571003465</v>
      </c>
    </row>
    <row r="745" spans="14:17" x14ac:dyDescent="0.55000000000000004">
      <c r="N745" s="103">
        <v>716</v>
      </c>
      <c r="O745" s="103">
        <v>12006.478079366814</v>
      </c>
      <c r="P745" s="103">
        <v>14913.421184531298</v>
      </c>
      <c r="Q745" s="103">
        <v>9204.4968571003465</v>
      </c>
    </row>
    <row r="746" spans="14:17" x14ac:dyDescent="0.55000000000000004">
      <c r="N746" s="103">
        <v>717</v>
      </c>
      <c r="O746" s="103">
        <v>6824.795765370598</v>
      </c>
      <c r="P746" s="103">
        <v>14913.421184531298</v>
      </c>
      <c r="Q746" s="103">
        <v>9204.4968571003465</v>
      </c>
    </row>
    <row r="747" spans="14:17" x14ac:dyDescent="0.55000000000000004">
      <c r="N747" s="103">
        <v>718</v>
      </c>
      <c r="O747" s="103">
        <v>5405.2433767398134</v>
      </c>
      <c r="P747" s="103">
        <v>14913.421184531298</v>
      </c>
      <c r="Q747" s="103">
        <v>9204.4968571003465</v>
      </c>
    </row>
    <row r="748" spans="14:17" x14ac:dyDescent="0.55000000000000004">
      <c r="N748" s="103">
        <v>719</v>
      </c>
      <c r="O748" s="103">
        <v>10165.601938018786</v>
      </c>
      <c r="P748" s="103">
        <v>14913.421184531298</v>
      </c>
      <c r="Q748" s="103">
        <v>9204.4968571003465</v>
      </c>
    </row>
    <row r="749" spans="14:17" x14ac:dyDescent="0.55000000000000004">
      <c r="N749" s="103">
        <v>720</v>
      </c>
      <c r="O749" s="103">
        <v>9797.4241379269952</v>
      </c>
      <c r="P749" s="103">
        <v>14913.421184531298</v>
      </c>
      <c r="Q749" s="103">
        <v>9204.4968571003465</v>
      </c>
    </row>
    <row r="750" spans="14:17" x14ac:dyDescent="0.55000000000000004">
      <c r="N750" s="103">
        <v>721</v>
      </c>
      <c r="O750" s="103">
        <v>-1875.6605217439765</v>
      </c>
      <c r="P750" s="103">
        <v>14913.421184531298</v>
      </c>
      <c r="Q750" s="103">
        <v>9204.4968571003465</v>
      </c>
    </row>
    <row r="751" spans="14:17" x14ac:dyDescent="0.55000000000000004">
      <c r="N751" s="103">
        <v>722</v>
      </c>
      <c r="O751" s="103">
        <v>8401.5486795261331</v>
      </c>
      <c r="P751" s="103">
        <v>14913.421184531298</v>
      </c>
      <c r="Q751" s="103">
        <v>9204.4968571003465</v>
      </c>
    </row>
    <row r="752" spans="14:17" x14ac:dyDescent="0.55000000000000004">
      <c r="N752" s="103">
        <v>723</v>
      </c>
      <c r="O752" s="103">
        <v>7680.7639218370568</v>
      </c>
      <c r="P752" s="103">
        <v>14913.421184531298</v>
      </c>
      <c r="Q752" s="103">
        <v>9204.4968571003465</v>
      </c>
    </row>
    <row r="753" spans="14:17" x14ac:dyDescent="0.55000000000000004">
      <c r="N753" s="103">
        <v>724</v>
      </c>
      <c r="O753" s="103">
        <v>-17152.189397842572</v>
      </c>
      <c r="P753" s="103">
        <v>14913.421184531298</v>
      </c>
      <c r="Q753" s="103">
        <v>9204.4968571003465</v>
      </c>
    </row>
    <row r="754" spans="14:17" x14ac:dyDescent="0.55000000000000004">
      <c r="N754" s="103">
        <v>725</v>
      </c>
      <c r="O754" s="103">
        <v>7030.9038213968297</v>
      </c>
      <c r="P754" s="103">
        <v>14913.421184531298</v>
      </c>
      <c r="Q754" s="103">
        <v>9204.4968571003465</v>
      </c>
    </row>
    <row r="755" spans="14:17" x14ac:dyDescent="0.55000000000000004">
      <c r="N755" s="103">
        <v>726</v>
      </c>
      <c r="O755" s="103">
        <v>-12161.279486878215</v>
      </c>
      <c r="P755" s="103">
        <v>14913.421184531298</v>
      </c>
      <c r="Q755" s="103">
        <v>9204.4968571003465</v>
      </c>
    </row>
    <row r="756" spans="14:17" x14ac:dyDescent="0.55000000000000004">
      <c r="N756" s="103">
        <v>727</v>
      </c>
      <c r="O756" s="103">
        <v>4554.6635131917792</v>
      </c>
      <c r="P756" s="103">
        <v>14913.421184531298</v>
      </c>
      <c r="Q756" s="103">
        <v>9204.4968571003465</v>
      </c>
    </row>
    <row r="757" spans="14:17" x14ac:dyDescent="0.55000000000000004">
      <c r="N757" s="103">
        <v>728</v>
      </c>
      <c r="O757" s="103">
        <v>614.62484907728276</v>
      </c>
      <c r="P757" s="103">
        <v>14913.421184531298</v>
      </c>
      <c r="Q757" s="103">
        <v>9204.4968571003465</v>
      </c>
    </row>
    <row r="758" spans="14:17" x14ac:dyDescent="0.55000000000000004">
      <c r="N758" s="103">
        <v>729</v>
      </c>
      <c r="O758" s="103">
        <v>78287.691093674002</v>
      </c>
      <c r="P758" s="103">
        <v>14913.421184531298</v>
      </c>
      <c r="Q758" s="103">
        <v>9204.4968571003465</v>
      </c>
    </row>
    <row r="759" spans="14:17" x14ac:dyDescent="0.55000000000000004">
      <c r="N759" s="103">
        <v>730</v>
      </c>
      <c r="O759" s="103">
        <v>3837.731531665886</v>
      </c>
      <c r="P759" s="103">
        <v>14913.421184531298</v>
      </c>
      <c r="Q759" s="103">
        <v>9204.4968571003465</v>
      </c>
    </row>
    <row r="760" spans="14:17" x14ac:dyDescent="0.55000000000000004">
      <c r="N760" s="103">
        <v>731</v>
      </c>
      <c r="O760" s="103">
        <v>-33392.267903968524</v>
      </c>
      <c r="P760" s="103">
        <v>14913.421184531298</v>
      </c>
      <c r="Q760" s="103">
        <v>9204.4968571003465</v>
      </c>
    </row>
    <row r="761" spans="14:17" x14ac:dyDescent="0.55000000000000004">
      <c r="N761" s="103">
        <v>732</v>
      </c>
      <c r="O761" s="103">
        <v>-850.3602155446747</v>
      </c>
      <c r="P761" s="103">
        <v>14913.421184531298</v>
      </c>
      <c r="Q761" s="103">
        <v>9204.4968571003465</v>
      </c>
    </row>
    <row r="762" spans="14:17" x14ac:dyDescent="0.55000000000000004">
      <c r="N762" s="103">
        <v>733</v>
      </c>
      <c r="O762" s="103">
        <v>9063.8393512947732</v>
      </c>
      <c r="P762" s="103">
        <v>14913.421184531298</v>
      </c>
      <c r="Q762" s="103">
        <v>9204.4968571003465</v>
      </c>
    </row>
    <row r="763" spans="14:17" x14ac:dyDescent="0.55000000000000004">
      <c r="N763" s="103">
        <v>734</v>
      </c>
      <c r="O763" s="103">
        <v>289875.847728302</v>
      </c>
      <c r="P763" s="103">
        <v>14913.421184531298</v>
      </c>
      <c r="Q763" s="103">
        <v>9204.4968571003465</v>
      </c>
    </row>
    <row r="764" spans="14:17" x14ac:dyDescent="0.55000000000000004">
      <c r="N764" s="103">
        <v>735</v>
      </c>
      <c r="O764" s="103">
        <v>10580.629777867993</v>
      </c>
      <c r="P764" s="103">
        <v>14913.421184531298</v>
      </c>
      <c r="Q764" s="103">
        <v>9204.4968571003465</v>
      </c>
    </row>
    <row r="765" spans="14:17" x14ac:dyDescent="0.55000000000000004">
      <c r="N765" s="103">
        <v>736</v>
      </c>
      <c r="O765" s="103">
        <v>-5892.072323133576</v>
      </c>
      <c r="P765" s="103">
        <v>14913.421184531298</v>
      </c>
      <c r="Q765" s="103">
        <v>9204.4968571003465</v>
      </c>
    </row>
    <row r="766" spans="14:17" x14ac:dyDescent="0.55000000000000004">
      <c r="N766" s="103">
        <v>737</v>
      </c>
      <c r="O766" s="103">
        <v>30144.125394824561</v>
      </c>
      <c r="P766" s="103">
        <v>14913.421184531298</v>
      </c>
      <c r="Q766" s="103">
        <v>9204.4968571003465</v>
      </c>
    </row>
    <row r="767" spans="14:17" x14ac:dyDescent="0.55000000000000004">
      <c r="N767" s="103">
        <v>738</v>
      </c>
      <c r="O767" s="103">
        <v>-6580.4352408429713</v>
      </c>
      <c r="P767" s="103">
        <v>14913.421184531298</v>
      </c>
      <c r="Q767" s="103">
        <v>9204.4968571003465</v>
      </c>
    </row>
    <row r="768" spans="14:17" x14ac:dyDescent="0.55000000000000004">
      <c r="N768" s="103">
        <v>739</v>
      </c>
      <c r="O768" s="103">
        <v>6381.6736222476375</v>
      </c>
      <c r="P768" s="103">
        <v>14913.421184531298</v>
      </c>
      <c r="Q768" s="103">
        <v>9204.4968571003465</v>
      </c>
    </row>
    <row r="769" spans="14:17" x14ac:dyDescent="0.55000000000000004">
      <c r="N769" s="103">
        <v>740</v>
      </c>
      <c r="O769" s="103">
        <v>-24673.138021462888</v>
      </c>
      <c r="P769" s="103">
        <v>14913.421184531298</v>
      </c>
      <c r="Q769" s="103">
        <v>9204.4968571003465</v>
      </c>
    </row>
    <row r="770" spans="14:17" x14ac:dyDescent="0.55000000000000004">
      <c r="N770" s="103">
        <v>741</v>
      </c>
      <c r="O770" s="103">
        <v>7629.2582101489697</v>
      </c>
      <c r="P770" s="103">
        <v>14913.421184531298</v>
      </c>
      <c r="Q770" s="103">
        <v>9204.4968571003465</v>
      </c>
    </row>
    <row r="771" spans="14:17" x14ac:dyDescent="0.55000000000000004">
      <c r="N771" s="103">
        <v>742</v>
      </c>
      <c r="O771" s="103">
        <v>-1516.9716853316345</v>
      </c>
      <c r="P771" s="103">
        <v>14913.421184531298</v>
      </c>
      <c r="Q771" s="103">
        <v>9204.4968571003465</v>
      </c>
    </row>
    <row r="772" spans="14:17" x14ac:dyDescent="0.55000000000000004">
      <c r="N772" s="103">
        <v>743</v>
      </c>
      <c r="O772" s="103">
        <v>-4065.7393244646482</v>
      </c>
      <c r="P772" s="103">
        <v>14913.421184531298</v>
      </c>
      <c r="Q772" s="103">
        <v>9204.4968571003465</v>
      </c>
    </row>
    <row r="773" spans="14:17" x14ac:dyDescent="0.55000000000000004">
      <c r="N773" s="103">
        <v>744</v>
      </c>
      <c r="O773" s="103">
        <v>7823.2775902361936</v>
      </c>
      <c r="P773" s="103">
        <v>14913.421184531298</v>
      </c>
      <c r="Q773" s="103">
        <v>9204.4968571003465</v>
      </c>
    </row>
    <row r="774" spans="14:17" x14ac:dyDescent="0.55000000000000004">
      <c r="N774" s="103">
        <v>745</v>
      </c>
      <c r="O774" s="103">
        <v>12601.944289022116</v>
      </c>
      <c r="P774" s="103">
        <v>14913.421184531298</v>
      </c>
      <c r="Q774" s="103">
        <v>9204.4968571003465</v>
      </c>
    </row>
    <row r="775" spans="14:17" x14ac:dyDescent="0.55000000000000004">
      <c r="N775" s="103">
        <v>746</v>
      </c>
      <c r="O775" s="103">
        <v>-25827.402427900586</v>
      </c>
      <c r="P775" s="103">
        <v>14913.421184531298</v>
      </c>
      <c r="Q775" s="103">
        <v>9204.4968571003465</v>
      </c>
    </row>
    <row r="776" spans="14:17" x14ac:dyDescent="0.55000000000000004">
      <c r="N776" s="103">
        <v>747</v>
      </c>
      <c r="O776" s="103">
        <v>-1341.2254977934126</v>
      </c>
      <c r="P776" s="103">
        <v>14913.421184531298</v>
      </c>
      <c r="Q776" s="103">
        <v>9204.4968571003465</v>
      </c>
    </row>
    <row r="777" spans="14:17" x14ac:dyDescent="0.55000000000000004">
      <c r="N777" s="103">
        <v>748</v>
      </c>
      <c r="O777" s="103">
        <v>-5831.745411361102</v>
      </c>
      <c r="P777" s="103">
        <v>14913.421184531298</v>
      </c>
      <c r="Q777" s="103">
        <v>9204.4968571003465</v>
      </c>
    </row>
    <row r="778" spans="14:17" x14ac:dyDescent="0.55000000000000004">
      <c r="N778" s="103">
        <v>749</v>
      </c>
      <c r="O778" s="103">
        <v>-29454.04182362336</v>
      </c>
      <c r="P778" s="103">
        <v>14913.421184531298</v>
      </c>
      <c r="Q778" s="103">
        <v>9204.4968571003465</v>
      </c>
    </row>
    <row r="779" spans="14:17" x14ac:dyDescent="0.55000000000000004">
      <c r="N779" s="103">
        <v>750</v>
      </c>
      <c r="O779" s="103">
        <v>10742.301334201966</v>
      </c>
      <c r="P779" s="103">
        <v>14913.421184531298</v>
      </c>
      <c r="Q779" s="103">
        <v>9204.4968571003465</v>
      </c>
    </row>
    <row r="780" spans="14:17" x14ac:dyDescent="0.55000000000000004">
      <c r="N780" s="103">
        <v>751</v>
      </c>
      <c r="O780" s="103">
        <v>7778.2754221990426</v>
      </c>
      <c r="P780" s="103">
        <v>14913.421184531298</v>
      </c>
      <c r="Q780" s="103">
        <v>9204.4968571003465</v>
      </c>
    </row>
    <row r="781" spans="14:17" x14ac:dyDescent="0.55000000000000004">
      <c r="N781" s="103">
        <v>752</v>
      </c>
      <c r="O781" s="103">
        <v>-165398.38168329798</v>
      </c>
      <c r="P781" s="103">
        <v>14913.421184531298</v>
      </c>
      <c r="Q781" s="103">
        <v>9204.4968571003465</v>
      </c>
    </row>
    <row r="782" spans="14:17" x14ac:dyDescent="0.55000000000000004">
      <c r="N782" s="103">
        <v>753</v>
      </c>
      <c r="O782" s="103">
        <v>24564.344089441765</v>
      </c>
      <c r="P782" s="103">
        <v>14913.421184531298</v>
      </c>
      <c r="Q782" s="103">
        <v>9204.4968571003465</v>
      </c>
    </row>
    <row r="783" spans="14:17" x14ac:dyDescent="0.55000000000000004">
      <c r="N783" s="103">
        <v>754</v>
      </c>
      <c r="O783" s="103">
        <v>13902.323073802447</v>
      </c>
      <c r="P783" s="103">
        <v>14913.421184531298</v>
      </c>
      <c r="Q783" s="103">
        <v>9204.4968571003465</v>
      </c>
    </row>
    <row r="784" spans="14:17" x14ac:dyDescent="0.55000000000000004">
      <c r="N784" s="103">
        <v>755</v>
      </c>
      <c r="O784" s="103">
        <v>-180491.11158182716</v>
      </c>
      <c r="P784" s="103">
        <v>14913.421184531298</v>
      </c>
      <c r="Q784" s="103">
        <v>9204.4968571003465</v>
      </c>
    </row>
    <row r="785" spans="14:17" x14ac:dyDescent="0.55000000000000004">
      <c r="N785" s="103">
        <v>756</v>
      </c>
      <c r="O785" s="103">
        <v>9226.8871583710879</v>
      </c>
      <c r="P785" s="103">
        <v>14913.421184531298</v>
      </c>
      <c r="Q785" s="103">
        <v>9204.4968571003465</v>
      </c>
    </row>
    <row r="786" spans="14:17" x14ac:dyDescent="0.55000000000000004">
      <c r="N786" s="103">
        <v>757</v>
      </c>
      <c r="O786" s="103">
        <v>-878.61226814119073</v>
      </c>
      <c r="P786" s="103">
        <v>14913.421184531298</v>
      </c>
      <c r="Q786" s="103">
        <v>9204.4968571003465</v>
      </c>
    </row>
    <row r="787" spans="14:17" x14ac:dyDescent="0.55000000000000004">
      <c r="N787" s="103">
        <v>758</v>
      </c>
      <c r="O787" s="103">
        <v>-21028.070046272362</v>
      </c>
      <c r="P787" s="103">
        <v>14913.421184531298</v>
      </c>
      <c r="Q787" s="103">
        <v>9204.4968571003465</v>
      </c>
    </row>
    <row r="788" spans="14:17" x14ac:dyDescent="0.55000000000000004">
      <c r="N788" s="103">
        <v>759</v>
      </c>
      <c r="O788" s="103">
        <v>8394.6773187293493</v>
      </c>
      <c r="P788" s="103">
        <v>14913.421184531298</v>
      </c>
      <c r="Q788" s="103">
        <v>9204.4968571003465</v>
      </c>
    </row>
    <row r="789" spans="14:17" x14ac:dyDescent="0.55000000000000004">
      <c r="N789" s="103">
        <v>760</v>
      </c>
      <c r="O789" s="103">
        <v>9488.7960410778069</v>
      </c>
      <c r="P789" s="103">
        <v>14913.421184531298</v>
      </c>
      <c r="Q789" s="103">
        <v>9204.4968571003465</v>
      </c>
    </row>
    <row r="790" spans="14:17" x14ac:dyDescent="0.55000000000000004">
      <c r="N790" s="103">
        <v>761</v>
      </c>
      <c r="O790" s="103">
        <v>4601.6435847593339</v>
      </c>
      <c r="P790" s="103">
        <v>14913.421184531298</v>
      </c>
      <c r="Q790" s="103">
        <v>9204.4968571003465</v>
      </c>
    </row>
    <row r="791" spans="14:17" x14ac:dyDescent="0.55000000000000004">
      <c r="N791" s="103">
        <v>762</v>
      </c>
      <c r="O791" s="103">
        <v>-3504.7509133216336</v>
      </c>
      <c r="P791" s="103">
        <v>14913.421184531298</v>
      </c>
      <c r="Q791" s="103">
        <v>9204.4968571003465</v>
      </c>
    </row>
    <row r="792" spans="14:17" x14ac:dyDescent="0.55000000000000004">
      <c r="N792" s="103">
        <v>763</v>
      </c>
      <c r="O792" s="103">
        <v>6493.966341107599</v>
      </c>
      <c r="P792" s="103">
        <v>14913.421184531298</v>
      </c>
      <c r="Q792" s="103">
        <v>9204.4968571003465</v>
      </c>
    </row>
    <row r="793" spans="14:17" x14ac:dyDescent="0.55000000000000004">
      <c r="N793" s="103">
        <v>764</v>
      </c>
      <c r="O793" s="103">
        <v>48220.193049505258</v>
      </c>
      <c r="P793" s="103">
        <v>14913.421184531298</v>
      </c>
      <c r="Q793" s="103">
        <v>9204.4968571003465</v>
      </c>
    </row>
    <row r="794" spans="14:17" x14ac:dyDescent="0.55000000000000004">
      <c r="N794" s="103">
        <v>765</v>
      </c>
      <c r="O794" s="103">
        <v>-598.14048659628043</v>
      </c>
      <c r="P794" s="103">
        <v>14913.421184531298</v>
      </c>
      <c r="Q794" s="103">
        <v>9204.4968571003465</v>
      </c>
    </row>
    <row r="795" spans="14:17" x14ac:dyDescent="0.55000000000000004">
      <c r="N795" s="103">
        <v>766</v>
      </c>
      <c r="O795" s="103">
        <v>13936.27477446113</v>
      </c>
      <c r="P795" s="103">
        <v>14913.421184531298</v>
      </c>
      <c r="Q795" s="103">
        <v>9204.4968571003465</v>
      </c>
    </row>
    <row r="796" spans="14:17" x14ac:dyDescent="0.55000000000000004">
      <c r="N796" s="103">
        <v>767</v>
      </c>
      <c r="O796" s="103">
        <v>6837.6547081195058</v>
      </c>
      <c r="P796" s="103">
        <v>14913.421184531298</v>
      </c>
      <c r="Q796" s="103">
        <v>9204.4968571003465</v>
      </c>
    </row>
    <row r="797" spans="14:17" x14ac:dyDescent="0.55000000000000004">
      <c r="N797" s="103">
        <v>768</v>
      </c>
      <c r="O797" s="103">
        <v>-22789.268436443424</v>
      </c>
      <c r="P797" s="103">
        <v>14913.421184531298</v>
      </c>
      <c r="Q797" s="103">
        <v>9204.4968571003465</v>
      </c>
    </row>
    <row r="798" spans="14:17" x14ac:dyDescent="0.55000000000000004">
      <c r="N798" s="103">
        <v>769</v>
      </c>
      <c r="O798" s="103">
        <v>7918.0098667815528</v>
      </c>
      <c r="P798" s="103">
        <v>14913.421184531298</v>
      </c>
      <c r="Q798" s="103">
        <v>9204.4968571003465</v>
      </c>
    </row>
    <row r="799" spans="14:17" x14ac:dyDescent="0.55000000000000004">
      <c r="N799" s="103">
        <v>770</v>
      </c>
      <c r="O799" s="103">
        <v>1343.5606393758217</v>
      </c>
      <c r="P799" s="103">
        <v>14913.421184531298</v>
      </c>
      <c r="Q799" s="103">
        <v>9204.4968571003465</v>
      </c>
    </row>
    <row r="800" spans="14:17" x14ac:dyDescent="0.55000000000000004">
      <c r="N800" s="103">
        <v>771</v>
      </c>
      <c r="O800" s="103">
        <v>79938.626910885272</v>
      </c>
      <c r="P800" s="103">
        <v>14913.421184531298</v>
      </c>
      <c r="Q800" s="103">
        <v>9204.4968571003465</v>
      </c>
    </row>
    <row r="801" spans="14:17" x14ac:dyDescent="0.55000000000000004">
      <c r="N801" s="103">
        <v>772</v>
      </c>
      <c r="O801" s="103">
        <v>-2458.8846519795047</v>
      </c>
      <c r="P801" s="103">
        <v>14913.421184531298</v>
      </c>
      <c r="Q801" s="103">
        <v>9204.4968571003465</v>
      </c>
    </row>
    <row r="802" spans="14:17" x14ac:dyDescent="0.55000000000000004">
      <c r="N802" s="103">
        <v>773</v>
      </c>
      <c r="O802" s="103">
        <v>6461.6947281070006</v>
      </c>
      <c r="P802" s="103">
        <v>14913.421184531298</v>
      </c>
      <c r="Q802" s="103">
        <v>9204.4968571003465</v>
      </c>
    </row>
    <row r="803" spans="14:17" x14ac:dyDescent="0.55000000000000004">
      <c r="N803" s="103">
        <v>774</v>
      </c>
      <c r="O803" s="103">
        <v>-8575.8297499707878</v>
      </c>
      <c r="P803" s="103">
        <v>14913.421184531298</v>
      </c>
      <c r="Q803" s="103">
        <v>9204.4968571003465</v>
      </c>
    </row>
    <row r="804" spans="14:17" x14ac:dyDescent="0.55000000000000004">
      <c r="N804" s="103">
        <v>775</v>
      </c>
      <c r="O804" s="103">
        <v>6037.3077778638699</v>
      </c>
      <c r="P804" s="103">
        <v>14913.421184531298</v>
      </c>
      <c r="Q804" s="103">
        <v>9204.4968571003465</v>
      </c>
    </row>
    <row r="805" spans="14:17" x14ac:dyDescent="0.55000000000000004">
      <c r="N805" s="103">
        <v>776</v>
      </c>
      <c r="O805" s="103">
        <v>17127.651688423794</v>
      </c>
      <c r="P805" s="103">
        <v>14913.421184531298</v>
      </c>
      <c r="Q805" s="103">
        <v>9204.4968571003465</v>
      </c>
    </row>
    <row r="806" spans="14:17" x14ac:dyDescent="0.55000000000000004">
      <c r="N806" s="103">
        <v>777</v>
      </c>
      <c r="O806" s="103">
        <v>6148.1548801284171</v>
      </c>
      <c r="P806" s="103">
        <v>14913.421184531298</v>
      </c>
      <c r="Q806" s="103">
        <v>9204.4968571003465</v>
      </c>
    </row>
    <row r="807" spans="14:17" x14ac:dyDescent="0.55000000000000004">
      <c r="N807" s="103">
        <v>778</v>
      </c>
      <c r="O807" s="103">
        <v>23607.96287601694</v>
      </c>
      <c r="P807" s="103">
        <v>14913.421184531298</v>
      </c>
      <c r="Q807" s="103">
        <v>9204.4968571003465</v>
      </c>
    </row>
    <row r="808" spans="14:17" x14ac:dyDescent="0.55000000000000004">
      <c r="N808" s="103">
        <v>779</v>
      </c>
      <c r="O808" s="103">
        <v>4148.1492679656712</v>
      </c>
      <c r="P808" s="103">
        <v>14913.421184531298</v>
      </c>
      <c r="Q808" s="103">
        <v>9204.4968571003465</v>
      </c>
    </row>
    <row r="809" spans="14:17" x14ac:dyDescent="0.55000000000000004">
      <c r="N809" s="103">
        <v>780</v>
      </c>
      <c r="O809" s="103">
        <v>12362.53065004384</v>
      </c>
      <c r="P809" s="103">
        <v>14913.421184531298</v>
      </c>
      <c r="Q809" s="103">
        <v>9204.4968571003465</v>
      </c>
    </row>
    <row r="810" spans="14:17" x14ac:dyDescent="0.55000000000000004">
      <c r="N810" s="103">
        <v>781</v>
      </c>
      <c r="O810" s="103">
        <v>-22367.706995965069</v>
      </c>
      <c r="P810" s="103">
        <v>14913.421184531298</v>
      </c>
      <c r="Q810" s="103">
        <v>9204.4968571003465</v>
      </c>
    </row>
    <row r="811" spans="14:17" x14ac:dyDescent="0.55000000000000004">
      <c r="N811" s="103">
        <v>782</v>
      </c>
      <c r="O811" s="103">
        <v>4979.6338527318421</v>
      </c>
      <c r="P811" s="103">
        <v>14913.421184531298</v>
      </c>
      <c r="Q811" s="103">
        <v>9204.4968571003465</v>
      </c>
    </row>
    <row r="812" spans="14:17" x14ac:dyDescent="0.55000000000000004">
      <c r="N812" s="103">
        <v>783</v>
      </c>
      <c r="O812" s="103">
        <v>6883.6314220068198</v>
      </c>
      <c r="P812" s="103">
        <v>14913.421184531298</v>
      </c>
      <c r="Q812" s="103">
        <v>9204.4968571003465</v>
      </c>
    </row>
    <row r="813" spans="14:17" x14ac:dyDescent="0.55000000000000004">
      <c r="N813" s="103">
        <v>784</v>
      </c>
      <c r="O813" s="103">
        <v>-25695.699157494146</v>
      </c>
      <c r="P813" s="103">
        <v>14913.421184531298</v>
      </c>
      <c r="Q813" s="103">
        <v>9204.4968571003465</v>
      </c>
    </row>
    <row r="814" spans="14:17" x14ac:dyDescent="0.55000000000000004">
      <c r="N814" s="103">
        <v>785</v>
      </c>
      <c r="O814" s="103">
        <v>4854.3751658516885</v>
      </c>
      <c r="P814" s="103">
        <v>14913.421184531298</v>
      </c>
      <c r="Q814" s="103">
        <v>9204.4968571003465</v>
      </c>
    </row>
    <row r="815" spans="14:17" x14ac:dyDescent="0.55000000000000004">
      <c r="N815" s="103">
        <v>786</v>
      </c>
      <c r="O815" s="103">
        <v>11338.718131174632</v>
      </c>
      <c r="P815" s="103">
        <v>14913.421184531298</v>
      </c>
      <c r="Q815" s="103">
        <v>9204.4968571003465</v>
      </c>
    </row>
    <row r="816" spans="14:17" x14ac:dyDescent="0.55000000000000004">
      <c r="N816" s="103">
        <v>787</v>
      </c>
      <c r="O816" s="103">
        <v>-410.50630138104771</v>
      </c>
      <c r="P816" s="103">
        <v>14913.421184531298</v>
      </c>
      <c r="Q816" s="103">
        <v>9204.4968571003465</v>
      </c>
    </row>
    <row r="817" spans="14:17" x14ac:dyDescent="0.55000000000000004">
      <c r="N817" s="103">
        <v>788</v>
      </c>
      <c r="O817" s="103">
        <v>6303.0837471735176</v>
      </c>
      <c r="P817" s="103">
        <v>14913.421184531298</v>
      </c>
      <c r="Q817" s="103">
        <v>9204.4968571003465</v>
      </c>
    </row>
    <row r="818" spans="14:17" x14ac:dyDescent="0.55000000000000004">
      <c r="N818" s="103">
        <v>789</v>
      </c>
      <c r="O818" s="103">
        <v>2278.5861928338982</v>
      </c>
      <c r="P818" s="103">
        <v>14913.421184531298</v>
      </c>
      <c r="Q818" s="103">
        <v>9204.4968571003465</v>
      </c>
    </row>
    <row r="819" spans="14:17" x14ac:dyDescent="0.55000000000000004">
      <c r="N819" s="103">
        <v>790</v>
      </c>
      <c r="O819" s="103">
        <v>7221.0908575467538</v>
      </c>
      <c r="P819" s="103">
        <v>14913.421184531298</v>
      </c>
      <c r="Q819" s="103">
        <v>9204.4968571003465</v>
      </c>
    </row>
    <row r="820" spans="14:17" x14ac:dyDescent="0.55000000000000004">
      <c r="N820" s="103">
        <v>791</v>
      </c>
      <c r="O820" s="103">
        <v>8237.0383085870199</v>
      </c>
      <c r="P820" s="103">
        <v>14913.421184531298</v>
      </c>
      <c r="Q820" s="103">
        <v>9204.4968571003465</v>
      </c>
    </row>
    <row r="821" spans="14:17" x14ac:dyDescent="0.55000000000000004">
      <c r="N821" s="103">
        <v>792</v>
      </c>
      <c r="O821" s="103">
        <v>12957.842012752848</v>
      </c>
      <c r="P821" s="103">
        <v>14913.421184531298</v>
      </c>
      <c r="Q821" s="103">
        <v>9204.4968571003465</v>
      </c>
    </row>
    <row r="822" spans="14:17" x14ac:dyDescent="0.55000000000000004">
      <c r="N822" s="103">
        <v>793</v>
      </c>
      <c r="O822" s="103">
        <v>-9198.8108149519849</v>
      </c>
      <c r="P822" s="103">
        <v>14913.421184531298</v>
      </c>
      <c r="Q822" s="103">
        <v>9204.4968571003465</v>
      </c>
    </row>
    <row r="823" spans="14:17" x14ac:dyDescent="0.55000000000000004">
      <c r="N823" s="103">
        <v>794</v>
      </c>
      <c r="O823" s="103">
        <v>-2166.1639851834443</v>
      </c>
      <c r="P823" s="103">
        <v>14913.421184531298</v>
      </c>
      <c r="Q823" s="103">
        <v>9204.4968571003465</v>
      </c>
    </row>
    <row r="824" spans="14:17" x14ac:dyDescent="0.55000000000000004">
      <c r="N824" s="103">
        <v>795</v>
      </c>
      <c r="O824" s="103">
        <v>12839.299736347584</v>
      </c>
      <c r="P824" s="103">
        <v>14913.421184531298</v>
      </c>
      <c r="Q824" s="103">
        <v>9204.4968571003465</v>
      </c>
    </row>
    <row r="825" spans="14:17" x14ac:dyDescent="0.55000000000000004">
      <c r="N825" s="103">
        <v>796</v>
      </c>
      <c r="O825" s="103">
        <v>-1513.4954249302455</v>
      </c>
      <c r="P825" s="103">
        <v>14913.421184531298</v>
      </c>
      <c r="Q825" s="103">
        <v>9204.4968571003465</v>
      </c>
    </row>
    <row r="826" spans="14:17" x14ac:dyDescent="0.55000000000000004">
      <c r="N826" s="103">
        <v>797</v>
      </c>
      <c r="O826" s="103">
        <v>8152.8672751350487</v>
      </c>
      <c r="P826" s="103">
        <v>14913.421184531298</v>
      </c>
      <c r="Q826" s="103">
        <v>9204.4968571003465</v>
      </c>
    </row>
    <row r="827" spans="14:17" x14ac:dyDescent="0.55000000000000004">
      <c r="N827" s="103">
        <v>798</v>
      </c>
      <c r="O827" s="103">
        <v>7042.4733517149716</v>
      </c>
      <c r="P827" s="103">
        <v>14913.421184531298</v>
      </c>
      <c r="Q827" s="103">
        <v>9204.4968571003465</v>
      </c>
    </row>
    <row r="828" spans="14:17" x14ac:dyDescent="0.55000000000000004">
      <c r="N828" s="103">
        <v>799</v>
      </c>
      <c r="O828" s="103">
        <v>-8452.6810938715353</v>
      </c>
      <c r="P828" s="103">
        <v>14913.421184531298</v>
      </c>
      <c r="Q828" s="103">
        <v>9204.4968571003465</v>
      </c>
    </row>
    <row r="829" spans="14:17" x14ac:dyDescent="0.55000000000000004">
      <c r="N829" s="103">
        <v>800</v>
      </c>
      <c r="O829" s="103">
        <v>-5817.0372978939222</v>
      </c>
      <c r="P829" s="103">
        <v>14913.421184531298</v>
      </c>
      <c r="Q829" s="103">
        <v>9204.4968571003465</v>
      </c>
    </row>
    <row r="830" spans="14:17" x14ac:dyDescent="0.55000000000000004">
      <c r="N830" s="103">
        <v>801</v>
      </c>
      <c r="O830" s="103">
        <v>-1963.1430893659617</v>
      </c>
      <c r="P830" s="103">
        <v>14913.421184531298</v>
      </c>
      <c r="Q830" s="103">
        <v>9204.4968571003465</v>
      </c>
    </row>
    <row r="831" spans="14:17" x14ac:dyDescent="0.55000000000000004">
      <c r="N831" s="103">
        <v>802</v>
      </c>
      <c r="O831" s="103">
        <v>-10109.900694759943</v>
      </c>
      <c r="P831" s="103">
        <v>14913.421184531298</v>
      </c>
      <c r="Q831" s="103">
        <v>9204.4968571003465</v>
      </c>
    </row>
    <row r="832" spans="14:17" x14ac:dyDescent="0.55000000000000004">
      <c r="N832" s="103">
        <v>803</v>
      </c>
      <c r="O832" s="103">
        <v>-2270.9172255567064</v>
      </c>
      <c r="P832" s="103">
        <v>14913.421184531298</v>
      </c>
      <c r="Q832" s="103">
        <v>9204.4968571003465</v>
      </c>
    </row>
    <row r="833" spans="14:17" x14ac:dyDescent="0.55000000000000004">
      <c r="N833" s="103">
        <v>804</v>
      </c>
      <c r="O833" s="103">
        <v>-15736.040085778459</v>
      </c>
      <c r="P833" s="103">
        <v>14913.421184531298</v>
      </c>
      <c r="Q833" s="103">
        <v>9204.4968571003465</v>
      </c>
    </row>
    <row r="834" spans="14:17" x14ac:dyDescent="0.55000000000000004">
      <c r="N834" s="103">
        <v>805</v>
      </c>
      <c r="O834" s="103">
        <v>-19097.690017909488</v>
      </c>
      <c r="P834" s="103">
        <v>14913.421184531298</v>
      </c>
      <c r="Q834" s="103">
        <v>9204.4968571003465</v>
      </c>
    </row>
    <row r="835" spans="14:17" x14ac:dyDescent="0.55000000000000004">
      <c r="N835" s="103">
        <v>806</v>
      </c>
      <c r="O835" s="103">
        <v>-6489.1885788170839</v>
      </c>
      <c r="P835" s="103">
        <v>14913.421184531298</v>
      </c>
      <c r="Q835" s="103">
        <v>9204.4968571003465</v>
      </c>
    </row>
    <row r="836" spans="14:17" x14ac:dyDescent="0.55000000000000004">
      <c r="N836" s="103">
        <v>807</v>
      </c>
      <c r="O836" s="103">
        <v>-20001.650152501519</v>
      </c>
      <c r="P836" s="103">
        <v>14913.421184531298</v>
      </c>
      <c r="Q836" s="103">
        <v>9204.4968571003465</v>
      </c>
    </row>
    <row r="837" spans="14:17" x14ac:dyDescent="0.55000000000000004">
      <c r="N837" s="103">
        <v>808</v>
      </c>
      <c r="O837" s="103">
        <v>4504.5142620919687</v>
      </c>
      <c r="P837" s="103">
        <v>14913.421184531298</v>
      </c>
      <c r="Q837" s="103">
        <v>9204.4968571003465</v>
      </c>
    </row>
    <row r="838" spans="14:17" x14ac:dyDescent="0.55000000000000004">
      <c r="N838" s="103">
        <v>809</v>
      </c>
      <c r="O838" s="103">
        <v>-19818.634329231114</v>
      </c>
      <c r="P838" s="103">
        <v>14913.421184531298</v>
      </c>
      <c r="Q838" s="103">
        <v>9204.4968571003465</v>
      </c>
    </row>
    <row r="839" spans="14:17" x14ac:dyDescent="0.55000000000000004">
      <c r="N839" s="103">
        <v>810</v>
      </c>
      <c r="O839" s="103">
        <v>-7905.7245188588977</v>
      </c>
      <c r="P839" s="103">
        <v>14913.421184531298</v>
      </c>
      <c r="Q839" s="103">
        <v>9204.4968571003465</v>
      </c>
    </row>
    <row r="840" spans="14:17" x14ac:dyDescent="0.55000000000000004">
      <c r="N840" s="103">
        <v>811</v>
      </c>
      <c r="O840" s="103">
        <v>3126.0221193510288</v>
      </c>
      <c r="P840" s="103">
        <v>14913.421184531298</v>
      </c>
      <c r="Q840" s="103">
        <v>9204.4968571003465</v>
      </c>
    </row>
    <row r="841" spans="14:17" x14ac:dyDescent="0.55000000000000004">
      <c r="N841" s="103">
        <v>812</v>
      </c>
      <c r="O841" s="103">
        <v>-1551.676998812366</v>
      </c>
      <c r="P841" s="103">
        <v>14913.421184531298</v>
      </c>
      <c r="Q841" s="103">
        <v>9204.4968571003465</v>
      </c>
    </row>
    <row r="842" spans="14:17" x14ac:dyDescent="0.55000000000000004">
      <c r="N842" s="103">
        <v>813</v>
      </c>
      <c r="O842" s="103">
        <v>9194.1569073213286</v>
      </c>
      <c r="P842" s="103">
        <v>14913.421184531298</v>
      </c>
      <c r="Q842" s="103">
        <v>9204.4968571003465</v>
      </c>
    </row>
    <row r="843" spans="14:17" x14ac:dyDescent="0.55000000000000004">
      <c r="N843" s="103">
        <v>814</v>
      </c>
      <c r="O843" s="103">
        <v>4969.7728549621752</v>
      </c>
      <c r="P843" s="103">
        <v>14913.421184531298</v>
      </c>
      <c r="Q843" s="103">
        <v>9204.4968571003465</v>
      </c>
    </row>
    <row r="844" spans="14:17" x14ac:dyDescent="0.55000000000000004">
      <c r="N844" s="103">
        <v>815</v>
      </c>
      <c r="O844" s="103">
        <v>-26335.649270956968</v>
      </c>
      <c r="P844" s="103">
        <v>14913.421184531298</v>
      </c>
      <c r="Q844" s="103">
        <v>9204.4968571003465</v>
      </c>
    </row>
    <row r="845" spans="14:17" x14ac:dyDescent="0.55000000000000004">
      <c r="N845" s="103">
        <v>816</v>
      </c>
      <c r="O845" s="103">
        <v>9041.6059655099998</v>
      </c>
      <c r="P845" s="103">
        <v>14913.421184531298</v>
      </c>
      <c r="Q845" s="103">
        <v>9204.4968571003465</v>
      </c>
    </row>
    <row r="846" spans="14:17" x14ac:dyDescent="0.55000000000000004">
      <c r="N846" s="103">
        <v>817</v>
      </c>
      <c r="O846" s="103">
        <v>10452.067238420334</v>
      </c>
      <c r="P846" s="103">
        <v>14913.421184531298</v>
      </c>
      <c r="Q846" s="103">
        <v>9204.4968571003465</v>
      </c>
    </row>
    <row r="847" spans="14:17" x14ac:dyDescent="0.55000000000000004">
      <c r="N847" s="103">
        <v>818</v>
      </c>
      <c r="O847" s="103">
        <v>-2397.4459888085116</v>
      </c>
      <c r="P847" s="103">
        <v>14913.421184531298</v>
      </c>
      <c r="Q847" s="103">
        <v>9204.4968571003465</v>
      </c>
    </row>
    <row r="848" spans="14:17" x14ac:dyDescent="0.55000000000000004">
      <c r="N848" s="103">
        <v>819</v>
      </c>
      <c r="O848" s="103">
        <v>-11434.087209107609</v>
      </c>
      <c r="P848" s="103">
        <v>14913.421184531298</v>
      </c>
      <c r="Q848" s="103">
        <v>9204.4968571003465</v>
      </c>
    </row>
    <row r="849" spans="14:17" x14ac:dyDescent="0.55000000000000004">
      <c r="N849" s="103">
        <v>820</v>
      </c>
      <c r="O849" s="103">
        <v>-17057.681015543309</v>
      </c>
      <c r="P849" s="103">
        <v>14913.421184531298</v>
      </c>
      <c r="Q849" s="103">
        <v>9204.4968571003465</v>
      </c>
    </row>
    <row r="850" spans="14:17" x14ac:dyDescent="0.55000000000000004">
      <c r="N850" s="103">
        <v>821</v>
      </c>
      <c r="O850" s="103">
        <v>4964.3847514678519</v>
      </c>
      <c r="P850" s="103">
        <v>14913.421184531298</v>
      </c>
      <c r="Q850" s="103">
        <v>9204.4968571003465</v>
      </c>
    </row>
    <row r="851" spans="14:17" x14ac:dyDescent="0.55000000000000004">
      <c r="N851" s="103">
        <v>822</v>
      </c>
      <c r="O851" s="103">
        <v>24721.255665686454</v>
      </c>
      <c r="P851" s="103">
        <v>14913.421184531298</v>
      </c>
      <c r="Q851" s="103">
        <v>9204.4968571003465</v>
      </c>
    </row>
    <row r="852" spans="14:17" x14ac:dyDescent="0.55000000000000004">
      <c r="N852" s="103">
        <v>823</v>
      </c>
      <c r="O852" s="103">
        <v>16888.485801004597</v>
      </c>
      <c r="P852" s="103">
        <v>14913.421184531298</v>
      </c>
      <c r="Q852" s="103">
        <v>9204.4968571003465</v>
      </c>
    </row>
    <row r="853" spans="14:17" x14ac:dyDescent="0.55000000000000004">
      <c r="N853" s="103">
        <v>824</v>
      </c>
      <c r="O853" s="103">
        <v>-13567.832047037122</v>
      </c>
      <c r="P853" s="103">
        <v>14913.421184531298</v>
      </c>
      <c r="Q853" s="103">
        <v>9204.4968571003465</v>
      </c>
    </row>
    <row r="854" spans="14:17" x14ac:dyDescent="0.55000000000000004">
      <c r="N854" s="103">
        <v>825</v>
      </c>
      <c r="O854" s="103">
        <v>14847.095294603472</v>
      </c>
      <c r="P854" s="103">
        <v>14913.421184531298</v>
      </c>
      <c r="Q854" s="103">
        <v>9204.4968571003465</v>
      </c>
    </row>
    <row r="855" spans="14:17" x14ac:dyDescent="0.55000000000000004">
      <c r="N855" s="103">
        <v>826</v>
      </c>
      <c r="O855" s="103">
        <v>-2300.8660044142398</v>
      </c>
      <c r="P855" s="103">
        <v>14913.421184531298</v>
      </c>
      <c r="Q855" s="103">
        <v>9204.4968571003465</v>
      </c>
    </row>
    <row r="856" spans="14:17" x14ac:dyDescent="0.55000000000000004">
      <c r="N856" s="103">
        <v>827</v>
      </c>
      <c r="O856" s="103">
        <v>313.20478375513449</v>
      </c>
      <c r="P856" s="103">
        <v>14913.421184531298</v>
      </c>
      <c r="Q856" s="103">
        <v>9204.4968571003465</v>
      </c>
    </row>
    <row r="857" spans="14:17" x14ac:dyDescent="0.55000000000000004">
      <c r="N857" s="103">
        <v>828</v>
      </c>
      <c r="O857" s="103">
        <v>7713.0264775670794</v>
      </c>
      <c r="P857" s="103">
        <v>14913.421184531298</v>
      </c>
      <c r="Q857" s="103">
        <v>9204.4968571003465</v>
      </c>
    </row>
    <row r="858" spans="14:17" x14ac:dyDescent="0.55000000000000004">
      <c r="N858" s="103">
        <v>829</v>
      </c>
      <c r="O858" s="103">
        <v>5540.3475105985444</v>
      </c>
      <c r="P858" s="103">
        <v>14913.421184531298</v>
      </c>
      <c r="Q858" s="103">
        <v>9204.4968571003465</v>
      </c>
    </row>
    <row r="859" spans="14:17" x14ac:dyDescent="0.55000000000000004">
      <c r="N859" s="103">
        <v>830</v>
      </c>
      <c r="O859" s="103">
        <v>5703.2554093537929</v>
      </c>
      <c r="P859" s="103">
        <v>14913.421184531298</v>
      </c>
      <c r="Q859" s="103">
        <v>9204.4968571003465</v>
      </c>
    </row>
    <row r="860" spans="14:17" x14ac:dyDescent="0.55000000000000004">
      <c r="N860" s="103">
        <v>831</v>
      </c>
      <c r="O860" s="103">
        <v>2241.4481552845709</v>
      </c>
      <c r="P860" s="103">
        <v>14913.421184531298</v>
      </c>
      <c r="Q860" s="103">
        <v>9204.4968571003465</v>
      </c>
    </row>
    <row r="861" spans="14:17" x14ac:dyDescent="0.55000000000000004">
      <c r="N861" s="103">
        <v>832</v>
      </c>
      <c r="O861" s="103">
        <v>-5018.9973251510701</v>
      </c>
      <c r="P861" s="103">
        <v>14913.421184531298</v>
      </c>
      <c r="Q861" s="103">
        <v>9204.4968571003465</v>
      </c>
    </row>
    <row r="862" spans="14:17" x14ac:dyDescent="0.55000000000000004">
      <c r="N862" s="103">
        <v>833</v>
      </c>
      <c r="O862" s="103">
        <v>-2298.9121421311484</v>
      </c>
      <c r="P862" s="103">
        <v>14913.421184531298</v>
      </c>
      <c r="Q862" s="103">
        <v>9204.4968571003465</v>
      </c>
    </row>
    <row r="863" spans="14:17" x14ac:dyDescent="0.55000000000000004">
      <c r="N863" s="103">
        <v>834</v>
      </c>
      <c r="O863" s="103">
        <v>58901.79780876304</v>
      </c>
      <c r="P863" s="103">
        <v>14913.421184531298</v>
      </c>
      <c r="Q863" s="103">
        <v>9204.4968571003465</v>
      </c>
    </row>
    <row r="864" spans="14:17" x14ac:dyDescent="0.55000000000000004">
      <c r="N864" s="103">
        <v>835</v>
      </c>
      <c r="O864" s="103">
        <v>7344.2928452710385</v>
      </c>
      <c r="P864" s="103">
        <v>14913.421184531298</v>
      </c>
      <c r="Q864" s="103">
        <v>9204.4968571003465</v>
      </c>
    </row>
    <row r="865" spans="14:17" x14ac:dyDescent="0.55000000000000004">
      <c r="N865" s="103">
        <v>836</v>
      </c>
      <c r="O865" s="103">
        <v>62213.503795223427</v>
      </c>
      <c r="P865" s="103">
        <v>14913.421184531298</v>
      </c>
      <c r="Q865" s="103">
        <v>9204.4968571003465</v>
      </c>
    </row>
    <row r="866" spans="14:17" x14ac:dyDescent="0.55000000000000004">
      <c r="N866" s="103">
        <v>837</v>
      </c>
      <c r="O866" s="103">
        <v>-2650.5150532193584</v>
      </c>
      <c r="P866" s="103">
        <v>14913.421184531298</v>
      </c>
      <c r="Q866" s="103">
        <v>9204.4968571003465</v>
      </c>
    </row>
    <row r="867" spans="14:17" x14ac:dyDescent="0.55000000000000004">
      <c r="N867" s="103">
        <v>838</v>
      </c>
      <c r="O867" s="103">
        <v>5716.3418348694922</v>
      </c>
      <c r="P867" s="103">
        <v>14913.421184531298</v>
      </c>
      <c r="Q867" s="103">
        <v>9204.4968571003465</v>
      </c>
    </row>
    <row r="868" spans="14:17" x14ac:dyDescent="0.55000000000000004">
      <c r="N868" s="103">
        <v>839</v>
      </c>
      <c r="O868" s="103">
        <v>-22857.16382920598</v>
      </c>
      <c r="P868" s="103">
        <v>14913.421184531298</v>
      </c>
      <c r="Q868" s="103">
        <v>9204.4968571003465</v>
      </c>
    </row>
    <row r="869" spans="14:17" x14ac:dyDescent="0.55000000000000004">
      <c r="N869" s="103">
        <v>840</v>
      </c>
      <c r="O869" s="103">
        <v>6371.0322914170738</v>
      </c>
      <c r="P869" s="103">
        <v>14913.421184531298</v>
      </c>
      <c r="Q869" s="103">
        <v>9204.4968571003465</v>
      </c>
    </row>
    <row r="870" spans="14:17" x14ac:dyDescent="0.55000000000000004">
      <c r="N870" s="103">
        <v>841</v>
      </c>
      <c r="O870" s="103">
        <v>-921.06422259646388</v>
      </c>
      <c r="P870" s="103">
        <v>14913.421184531298</v>
      </c>
      <c r="Q870" s="103">
        <v>9204.4968571003465</v>
      </c>
    </row>
    <row r="871" spans="14:17" x14ac:dyDescent="0.55000000000000004">
      <c r="N871" s="103">
        <v>842</v>
      </c>
      <c r="O871" s="103">
        <v>62275.817129873816</v>
      </c>
      <c r="P871" s="103">
        <v>14913.421184531298</v>
      </c>
      <c r="Q871" s="103">
        <v>9204.4968571003465</v>
      </c>
    </row>
    <row r="872" spans="14:17" x14ac:dyDescent="0.55000000000000004">
      <c r="N872" s="103">
        <v>843</v>
      </c>
      <c r="O872" s="103">
        <v>-47023.821124362606</v>
      </c>
      <c r="P872" s="103">
        <v>14913.421184531298</v>
      </c>
      <c r="Q872" s="103">
        <v>9204.4968571003465</v>
      </c>
    </row>
    <row r="873" spans="14:17" x14ac:dyDescent="0.55000000000000004">
      <c r="N873" s="103">
        <v>844</v>
      </c>
      <c r="O873" s="103">
        <v>13085.891939244921</v>
      </c>
      <c r="P873" s="103">
        <v>14913.421184531298</v>
      </c>
      <c r="Q873" s="103">
        <v>9204.4968571003465</v>
      </c>
    </row>
    <row r="874" spans="14:17" x14ac:dyDescent="0.55000000000000004">
      <c r="N874" s="103">
        <v>845</v>
      </c>
      <c r="O874" s="103">
        <v>6289.685421806711</v>
      </c>
      <c r="P874" s="103">
        <v>14913.421184531298</v>
      </c>
      <c r="Q874" s="103">
        <v>9204.4968571003465</v>
      </c>
    </row>
    <row r="875" spans="14:17" x14ac:dyDescent="0.55000000000000004">
      <c r="N875" s="103">
        <v>846</v>
      </c>
      <c r="O875" s="103">
        <v>-1144.75087418473</v>
      </c>
      <c r="P875" s="103">
        <v>14913.421184531298</v>
      </c>
      <c r="Q875" s="103">
        <v>9204.4968571003465</v>
      </c>
    </row>
    <row r="876" spans="14:17" x14ac:dyDescent="0.55000000000000004">
      <c r="N876" s="103">
        <v>847</v>
      </c>
      <c r="O876" s="103">
        <v>14590.71587563251</v>
      </c>
      <c r="P876" s="103">
        <v>14913.421184531298</v>
      </c>
      <c r="Q876" s="103">
        <v>9204.4968571003465</v>
      </c>
    </row>
    <row r="877" spans="14:17" x14ac:dyDescent="0.55000000000000004">
      <c r="N877" s="103">
        <v>848</v>
      </c>
      <c r="O877" s="103">
        <v>4806.9065785572275</v>
      </c>
      <c r="P877" s="103">
        <v>14913.421184531298</v>
      </c>
      <c r="Q877" s="103">
        <v>9204.4968571003465</v>
      </c>
    </row>
    <row r="878" spans="14:17" x14ac:dyDescent="0.55000000000000004">
      <c r="N878" s="103">
        <v>849</v>
      </c>
      <c r="O878" s="103">
        <v>-18359.843384008869</v>
      </c>
      <c r="P878" s="103">
        <v>14913.421184531298</v>
      </c>
      <c r="Q878" s="103">
        <v>9204.4968571003465</v>
      </c>
    </row>
    <row r="879" spans="14:17" x14ac:dyDescent="0.55000000000000004">
      <c r="N879" s="103">
        <v>850</v>
      </c>
      <c r="O879" s="103">
        <v>-4158.6995679313623</v>
      </c>
      <c r="P879" s="103">
        <v>14913.421184531298</v>
      </c>
      <c r="Q879" s="103">
        <v>9204.4968571003465</v>
      </c>
    </row>
    <row r="880" spans="14:17" x14ac:dyDescent="0.55000000000000004">
      <c r="N880" s="103">
        <v>851</v>
      </c>
      <c r="O880" s="103">
        <v>2474.4121542691705</v>
      </c>
      <c r="P880" s="103">
        <v>14913.421184531298</v>
      </c>
      <c r="Q880" s="103">
        <v>9204.4968571003465</v>
      </c>
    </row>
    <row r="881" spans="14:17" x14ac:dyDescent="0.55000000000000004">
      <c r="N881" s="103">
        <v>852</v>
      </c>
      <c r="O881" s="103">
        <v>-10176.506041965989</v>
      </c>
      <c r="P881" s="103">
        <v>14913.421184531298</v>
      </c>
      <c r="Q881" s="103">
        <v>9204.4968571003465</v>
      </c>
    </row>
    <row r="882" spans="14:17" x14ac:dyDescent="0.55000000000000004">
      <c r="N882" s="103">
        <v>853</v>
      </c>
      <c r="O882" s="103">
        <v>-6782.2346816462868</v>
      </c>
      <c r="P882" s="103">
        <v>14913.421184531298</v>
      </c>
      <c r="Q882" s="103">
        <v>9204.4968571003465</v>
      </c>
    </row>
    <row r="883" spans="14:17" x14ac:dyDescent="0.55000000000000004">
      <c r="N883" s="103">
        <v>854</v>
      </c>
      <c r="O883" s="103">
        <v>11459.157998490999</v>
      </c>
      <c r="P883" s="103">
        <v>14913.421184531298</v>
      </c>
      <c r="Q883" s="103">
        <v>9204.4968571003465</v>
      </c>
    </row>
    <row r="884" spans="14:17" x14ac:dyDescent="0.55000000000000004">
      <c r="N884" s="103">
        <v>855</v>
      </c>
      <c r="O884" s="103">
        <v>10168.292373016233</v>
      </c>
      <c r="P884" s="103">
        <v>14913.421184531298</v>
      </c>
      <c r="Q884" s="103">
        <v>9204.4968571003465</v>
      </c>
    </row>
    <row r="885" spans="14:17" x14ac:dyDescent="0.55000000000000004">
      <c r="N885" s="103">
        <v>856</v>
      </c>
      <c r="O885" s="103">
        <v>-10920.172642239577</v>
      </c>
      <c r="P885" s="103">
        <v>14913.421184531298</v>
      </c>
      <c r="Q885" s="103">
        <v>9204.4968571003465</v>
      </c>
    </row>
    <row r="886" spans="14:17" x14ac:dyDescent="0.55000000000000004">
      <c r="N886" s="103">
        <v>857</v>
      </c>
      <c r="O886" s="103">
        <v>-300.14759824703651</v>
      </c>
      <c r="P886" s="103">
        <v>14913.421184531298</v>
      </c>
      <c r="Q886" s="103">
        <v>9204.4968571003465</v>
      </c>
    </row>
    <row r="887" spans="14:17" x14ac:dyDescent="0.55000000000000004">
      <c r="N887" s="103">
        <v>858</v>
      </c>
      <c r="O887" s="103">
        <v>14097.977714797515</v>
      </c>
      <c r="P887" s="103">
        <v>14913.421184531298</v>
      </c>
      <c r="Q887" s="103">
        <v>9204.4968571003465</v>
      </c>
    </row>
    <row r="888" spans="14:17" x14ac:dyDescent="0.55000000000000004">
      <c r="N888" s="103">
        <v>859</v>
      </c>
      <c r="O888" s="103">
        <v>-1561.0730989892463</v>
      </c>
      <c r="P888" s="103">
        <v>14913.421184531298</v>
      </c>
      <c r="Q888" s="103">
        <v>9204.4968571003465</v>
      </c>
    </row>
    <row r="889" spans="14:17" x14ac:dyDescent="0.55000000000000004">
      <c r="N889" s="103">
        <v>860</v>
      </c>
      <c r="O889" s="103">
        <v>394.41081390455338</v>
      </c>
      <c r="P889" s="103">
        <v>14913.421184531298</v>
      </c>
      <c r="Q889" s="103">
        <v>9204.4968571003465</v>
      </c>
    </row>
    <row r="890" spans="14:17" x14ac:dyDescent="0.55000000000000004">
      <c r="N890" s="103">
        <v>861</v>
      </c>
      <c r="O890" s="103">
        <v>4678.4313364428745</v>
      </c>
      <c r="P890" s="103">
        <v>14913.421184531298</v>
      </c>
      <c r="Q890" s="103">
        <v>9204.4968571003465</v>
      </c>
    </row>
    <row r="891" spans="14:17" x14ac:dyDescent="0.55000000000000004">
      <c r="N891" s="103">
        <v>862</v>
      </c>
      <c r="O891" s="103">
        <v>6790.8765671309739</v>
      </c>
      <c r="P891" s="103">
        <v>14913.421184531298</v>
      </c>
      <c r="Q891" s="103">
        <v>9204.4968571003465</v>
      </c>
    </row>
    <row r="892" spans="14:17" x14ac:dyDescent="0.55000000000000004">
      <c r="N892" s="103">
        <v>863</v>
      </c>
      <c r="O892" s="103">
        <v>38956.943716430083</v>
      </c>
      <c r="P892" s="103">
        <v>14913.421184531298</v>
      </c>
      <c r="Q892" s="103">
        <v>9204.4968571003465</v>
      </c>
    </row>
    <row r="893" spans="14:17" x14ac:dyDescent="0.55000000000000004">
      <c r="N893" s="103">
        <v>864</v>
      </c>
      <c r="O893" s="103">
        <v>-2865.5880985482709</v>
      </c>
      <c r="P893" s="103">
        <v>14913.421184531298</v>
      </c>
      <c r="Q893" s="103">
        <v>9204.4968571003465</v>
      </c>
    </row>
    <row r="894" spans="14:17" x14ac:dyDescent="0.55000000000000004">
      <c r="N894" s="103">
        <v>865</v>
      </c>
      <c r="O894" s="103">
        <v>1604094.3292276887</v>
      </c>
      <c r="P894" s="103">
        <v>14913.421184531298</v>
      </c>
      <c r="Q894" s="103">
        <v>9204.4968571003465</v>
      </c>
    </row>
    <row r="895" spans="14:17" x14ac:dyDescent="0.55000000000000004">
      <c r="N895" s="103">
        <v>866</v>
      </c>
      <c r="O895" s="103">
        <v>4762.5707700484154</v>
      </c>
      <c r="P895" s="103">
        <v>14913.421184531298</v>
      </c>
      <c r="Q895" s="103">
        <v>9204.4968571003465</v>
      </c>
    </row>
    <row r="896" spans="14:17" x14ac:dyDescent="0.55000000000000004">
      <c r="N896" s="103">
        <v>867</v>
      </c>
      <c r="O896" s="103">
        <v>194661.48813432606</v>
      </c>
      <c r="P896" s="103">
        <v>14913.421184531298</v>
      </c>
      <c r="Q896" s="103">
        <v>9204.4968571003465</v>
      </c>
    </row>
    <row r="897" spans="14:17" x14ac:dyDescent="0.55000000000000004">
      <c r="N897" s="103">
        <v>868</v>
      </c>
      <c r="O897" s="103">
        <v>-318186.76524860511</v>
      </c>
      <c r="P897" s="103">
        <v>14913.421184531298</v>
      </c>
      <c r="Q897" s="103">
        <v>9204.4968571003465</v>
      </c>
    </row>
    <row r="898" spans="14:17" x14ac:dyDescent="0.55000000000000004">
      <c r="N898" s="103">
        <v>869</v>
      </c>
      <c r="O898" s="103">
        <v>-2642.7213815402465</v>
      </c>
      <c r="P898" s="103">
        <v>14913.421184531298</v>
      </c>
      <c r="Q898" s="103">
        <v>9204.4968571003465</v>
      </c>
    </row>
    <row r="899" spans="14:17" x14ac:dyDescent="0.55000000000000004">
      <c r="N899" s="103">
        <v>870</v>
      </c>
      <c r="O899" s="103">
        <v>-8656.9515943586539</v>
      </c>
      <c r="P899" s="103">
        <v>14913.421184531298</v>
      </c>
      <c r="Q899" s="103">
        <v>9204.4968571003465</v>
      </c>
    </row>
    <row r="900" spans="14:17" x14ac:dyDescent="0.55000000000000004">
      <c r="N900" s="103">
        <v>871</v>
      </c>
      <c r="O900" s="103">
        <v>-9804.3621572928896</v>
      </c>
      <c r="P900" s="103">
        <v>14913.421184531298</v>
      </c>
      <c r="Q900" s="103">
        <v>9204.4968571003465</v>
      </c>
    </row>
    <row r="901" spans="14:17" x14ac:dyDescent="0.55000000000000004">
      <c r="N901" s="103">
        <v>872</v>
      </c>
      <c r="O901" s="103">
        <v>-15371.74005402353</v>
      </c>
      <c r="P901" s="103">
        <v>14913.421184531298</v>
      </c>
      <c r="Q901" s="103">
        <v>9204.4968571003465</v>
      </c>
    </row>
    <row r="902" spans="14:17" x14ac:dyDescent="0.55000000000000004">
      <c r="N902" s="103">
        <v>873</v>
      </c>
      <c r="O902" s="103">
        <v>-11658.938667379241</v>
      </c>
      <c r="P902" s="103">
        <v>14913.421184531298</v>
      </c>
      <c r="Q902" s="103">
        <v>9204.4968571003465</v>
      </c>
    </row>
    <row r="903" spans="14:17" x14ac:dyDescent="0.55000000000000004">
      <c r="N903" s="103">
        <v>874</v>
      </c>
      <c r="O903" s="103">
        <v>5248.7865468433502</v>
      </c>
      <c r="P903" s="103">
        <v>14913.421184531298</v>
      </c>
      <c r="Q903" s="103">
        <v>9204.4968571003465</v>
      </c>
    </row>
    <row r="904" spans="14:17" x14ac:dyDescent="0.55000000000000004">
      <c r="N904" s="103">
        <v>875</v>
      </c>
      <c r="O904" s="103">
        <v>8919.1260551143314</v>
      </c>
      <c r="P904" s="103">
        <v>14913.421184531298</v>
      </c>
      <c r="Q904" s="103">
        <v>9204.4968571003465</v>
      </c>
    </row>
    <row r="905" spans="14:17" x14ac:dyDescent="0.55000000000000004">
      <c r="N905" s="103">
        <v>876</v>
      </c>
      <c r="O905" s="103">
        <v>-2707.2943063057883</v>
      </c>
      <c r="P905" s="103">
        <v>14913.421184531298</v>
      </c>
      <c r="Q905" s="103">
        <v>9204.4968571003465</v>
      </c>
    </row>
    <row r="906" spans="14:17" x14ac:dyDescent="0.55000000000000004">
      <c r="N906" s="103">
        <v>877</v>
      </c>
      <c r="O906" s="103">
        <v>14358.392255909612</v>
      </c>
      <c r="P906" s="103">
        <v>14913.421184531298</v>
      </c>
      <c r="Q906" s="103">
        <v>9204.4968571003465</v>
      </c>
    </row>
    <row r="907" spans="14:17" x14ac:dyDescent="0.55000000000000004">
      <c r="N907" s="103">
        <v>878</v>
      </c>
      <c r="O907" s="103">
        <v>12195.07324091802</v>
      </c>
      <c r="P907" s="103">
        <v>14913.421184531298</v>
      </c>
      <c r="Q907" s="103">
        <v>9204.4968571003465</v>
      </c>
    </row>
    <row r="908" spans="14:17" x14ac:dyDescent="0.55000000000000004">
      <c r="N908" s="103">
        <v>879</v>
      </c>
      <c r="O908" s="103">
        <v>4573.3176251986179</v>
      </c>
      <c r="P908" s="103">
        <v>14913.421184531298</v>
      </c>
      <c r="Q908" s="103">
        <v>9204.4968571003465</v>
      </c>
    </row>
    <row r="909" spans="14:17" x14ac:dyDescent="0.55000000000000004">
      <c r="N909" s="103">
        <v>880</v>
      </c>
      <c r="O909" s="103">
        <v>-136319.32306386571</v>
      </c>
      <c r="P909" s="103">
        <v>14913.421184531298</v>
      </c>
      <c r="Q909" s="103">
        <v>9204.4968571003465</v>
      </c>
    </row>
    <row r="910" spans="14:17" x14ac:dyDescent="0.55000000000000004">
      <c r="N910" s="103">
        <v>881</v>
      </c>
      <c r="O910" s="103">
        <v>14560.307400409201</v>
      </c>
      <c r="P910" s="103">
        <v>14913.421184531298</v>
      </c>
      <c r="Q910" s="103">
        <v>9204.4968571003465</v>
      </c>
    </row>
    <row r="911" spans="14:17" x14ac:dyDescent="0.55000000000000004">
      <c r="N911" s="103">
        <v>882</v>
      </c>
      <c r="O911" s="103">
        <v>7671.5256115353977</v>
      </c>
      <c r="P911" s="103">
        <v>14913.421184531298</v>
      </c>
      <c r="Q911" s="103">
        <v>9204.4968571003465</v>
      </c>
    </row>
    <row r="912" spans="14:17" x14ac:dyDescent="0.55000000000000004">
      <c r="N912" s="103">
        <v>883</v>
      </c>
      <c r="O912" s="103">
        <v>744714.63673605572</v>
      </c>
      <c r="P912" s="103">
        <v>14913.421184531298</v>
      </c>
      <c r="Q912" s="103">
        <v>9204.4968571003465</v>
      </c>
    </row>
    <row r="913" spans="14:17" x14ac:dyDescent="0.55000000000000004">
      <c r="N913" s="103">
        <v>884</v>
      </c>
      <c r="O913" s="103">
        <v>-3854.528292750837</v>
      </c>
      <c r="P913" s="103">
        <v>14913.421184531298</v>
      </c>
      <c r="Q913" s="103">
        <v>9204.4968571003465</v>
      </c>
    </row>
    <row r="914" spans="14:17" x14ac:dyDescent="0.55000000000000004">
      <c r="N914" s="103">
        <v>885</v>
      </c>
      <c r="O914" s="103">
        <v>5708.2758571963614</v>
      </c>
      <c r="P914" s="103">
        <v>14913.421184531298</v>
      </c>
      <c r="Q914" s="103">
        <v>9204.4968571003465</v>
      </c>
    </row>
    <row r="915" spans="14:17" x14ac:dyDescent="0.55000000000000004">
      <c r="N915" s="103">
        <v>886</v>
      </c>
      <c r="O915" s="103">
        <v>10634.087925417383</v>
      </c>
      <c r="P915" s="103">
        <v>14913.421184531298</v>
      </c>
      <c r="Q915" s="103">
        <v>9204.4968571003465</v>
      </c>
    </row>
    <row r="916" spans="14:17" x14ac:dyDescent="0.55000000000000004">
      <c r="N916" s="103">
        <v>887</v>
      </c>
      <c r="O916" s="103">
        <v>5255.7184154522329</v>
      </c>
      <c r="P916" s="103">
        <v>14913.421184531298</v>
      </c>
      <c r="Q916" s="103">
        <v>9204.4968571003465</v>
      </c>
    </row>
    <row r="917" spans="14:17" x14ac:dyDescent="0.55000000000000004">
      <c r="N917" s="103">
        <v>888</v>
      </c>
      <c r="O917" s="103">
        <v>-2394.4895291270204</v>
      </c>
      <c r="P917" s="103">
        <v>14913.421184531298</v>
      </c>
      <c r="Q917" s="103">
        <v>9204.4968571003465</v>
      </c>
    </row>
    <row r="918" spans="14:17" x14ac:dyDescent="0.55000000000000004">
      <c r="N918" s="103">
        <v>889</v>
      </c>
      <c r="O918" s="103">
        <v>32682.369881991333</v>
      </c>
      <c r="P918" s="103">
        <v>14913.421184531298</v>
      </c>
      <c r="Q918" s="103">
        <v>9204.4968571003465</v>
      </c>
    </row>
    <row r="919" spans="14:17" x14ac:dyDescent="0.55000000000000004">
      <c r="N919" s="103">
        <v>890</v>
      </c>
      <c r="O919" s="103">
        <v>6845.1174465877539</v>
      </c>
      <c r="P919" s="103">
        <v>14913.421184531298</v>
      </c>
      <c r="Q919" s="103">
        <v>9204.4968571003465</v>
      </c>
    </row>
    <row r="920" spans="14:17" x14ac:dyDescent="0.55000000000000004">
      <c r="N920" s="103">
        <v>891</v>
      </c>
      <c r="O920" s="103">
        <v>5906.0659691228157</v>
      </c>
      <c r="P920" s="103">
        <v>14913.421184531298</v>
      </c>
      <c r="Q920" s="103">
        <v>9204.4968571003465</v>
      </c>
    </row>
    <row r="921" spans="14:17" x14ac:dyDescent="0.55000000000000004">
      <c r="N921" s="103">
        <v>892</v>
      </c>
      <c r="O921" s="103">
        <v>9306.4978530718399</v>
      </c>
      <c r="P921" s="103">
        <v>14913.421184531298</v>
      </c>
      <c r="Q921" s="103">
        <v>9204.4968571003465</v>
      </c>
    </row>
    <row r="922" spans="14:17" x14ac:dyDescent="0.55000000000000004">
      <c r="N922" s="103">
        <v>893</v>
      </c>
      <c r="O922" s="103">
        <v>26000.652880955069</v>
      </c>
      <c r="P922" s="103">
        <v>14913.421184531298</v>
      </c>
      <c r="Q922" s="103">
        <v>9204.4968571003465</v>
      </c>
    </row>
    <row r="923" spans="14:17" x14ac:dyDescent="0.55000000000000004">
      <c r="N923" s="103">
        <v>894</v>
      </c>
      <c r="O923" s="103">
        <v>-6543.8778669192016</v>
      </c>
      <c r="P923" s="103">
        <v>14913.421184531298</v>
      </c>
      <c r="Q923" s="103">
        <v>9204.4968571003465</v>
      </c>
    </row>
    <row r="924" spans="14:17" x14ac:dyDescent="0.55000000000000004">
      <c r="N924" s="103">
        <v>895</v>
      </c>
      <c r="O924" s="103">
        <v>-21312.364456078332</v>
      </c>
      <c r="P924" s="103">
        <v>14913.421184531298</v>
      </c>
      <c r="Q924" s="103">
        <v>9204.4968571003465</v>
      </c>
    </row>
    <row r="925" spans="14:17" x14ac:dyDescent="0.55000000000000004">
      <c r="N925" s="103">
        <v>896</v>
      </c>
      <c r="O925" s="103">
        <v>5828.8841508567602</v>
      </c>
      <c r="P925" s="103">
        <v>14913.421184531298</v>
      </c>
      <c r="Q925" s="103">
        <v>9204.4968571003465</v>
      </c>
    </row>
    <row r="926" spans="14:17" x14ac:dyDescent="0.55000000000000004">
      <c r="N926" s="103">
        <v>897</v>
      </c>
      <c r="O926" s="103">
        <v>1418.3116655406097</v>
      </c>
      <c r="P926" s="103">
        <v>14913.421184531298</v>
      </c>
      <c r="Q926" s="103">
        <v>9204.4968571003465</v>
      </c>
    </row>
    <row r="927" spans="14:17" x14ac:dyDescent="0.55000000000000004">
      <c r="N927" s="103">
        <v>898</v>
      </c>
      <c r="O927" s="103">
        <v>286257.65203042771</v>
      </c>
      <c r="P927" s="103">
        <v>14913.421184531298</v>
      </c>
      <c r="Q927" s="103">
        <v>9204.4968571003465</v>
      </c>
    </row>
    <row r="928" spans="14:17" x14ac:dyDescent="0.55000000000000004">
      <c r="N928" s="103">
        <v>899</v>
      </c>
      <c r="O928" s="103">
        <v>36404.295313324998</v>
      </c>
      <c r="P928" s="103">
        <v>14913.421184531298</v>
      </c>
      <c r="Q928" s="103">
        <v>9204.4968571003465</v>
      </c>
    </row>
    <row r="929" spans="14:17" x14ac:dyDescent="0.55000000000000004">
      <c r="N929" s="103">
        <v>900</v>
      </c>
      <c r="O929" s="103">
        <v>-4609.0284171417661</v>
      </c>
      <c r="P929" s="103">
        <v>14913.421184531298</v>
      </c>
      <c r="Q929" s="103">
        <v>9204.4968571003465</v>
      </c>
    </row>
    <row r="930" spans="14:17" x14ac:dyDescent="0.55000000000000004">
      <c r="N930" s="103">
        <v>901</v>
      </c>
      <c r="O930" s="103">
        <v>5322.479704692596</v>
      </c>
      <c r="P930" s="103">
        <v>14913.421184531298</v>
      </c>
      <c r="Q930" s="103">
        <v>9204.4968571003465</v>
      </c>
    </row>
    <row r="931" spans="14:17" x14ac:dyDescent="0.55000000000000004">
      <c r="N931" s="103">
        <v>902</v>
      </c>
      <c r="O931" s="103">
        <v>1670.7396242825739</v>
      </c>
      <c r="P931" s="103">
        <v>14913.421184531298</v>
      </c>
      <c r="Q931" s="103">
        <v>9204.4968571003465</v>
      </c>
    </row>
    <row r="932" spans="14:17" x14ac:dyDescent="0.55000000000000004">
      <c r="N932" s="103">
        <v>903</v>
      </c>
      <c r="O932" s="103">
        <v>-3694.0612489035429</v>
      </c>
      <c r="P932" s="103">
        <v>14913.421184531298</v>
      </c>
      <c r="Q932" s="103">
        <v>9204.4968571003465</v>
      </c>
    </row>
    <row r="933" spans="14:17" x14ac:dyDescent="0.55000000000000004">
      <c r="N933" s="103">
        <v>904</v>
      </c>
      <c r="O933" s="103">
        <v>36135.512221902805</v>
      </c>
      <c r="P933" s="103">
        <v>14913.421184531298</v>
      </c>
      <c r="Q933" s="103">
        <v>9204.4968571003465</v>
      </c>
    </row>
    <row r="934" spans="14:17" x14ac:dyDescent="0.55000000000000004">
      <c r="N934" s="103">
        <v>905</v>
      </c>
      <c r="O934" s="103">
        <v>-106.80825197198965</v>
      </c>
      <c r="P934" s="103">
        <v>14913.421184531298</v>
      </c>
      <c r="Q934" s="103">
        <v>9204.4968571003465</v>
      </c>
    </row>
    <row r="935" spans="14:17" x14ac:dyDescent="0.55000000000000004">
      <c r="N935" s="103">
        <v>906</v>
      </c>
      <c r="O935" s="103">
        <v>6925.620947669322</v>
      </c>
      <c r="P935" s="103">
        <v>14913.421184531298</v>
      </c>
      <c r="Q935" s="103">
        <v>9204.4968571003465</v>
      </c>
    </row>
    <row r="936" spans="14:17" x14ac:dyDescent="0.55000000000000004">
      <c r="N936" s="103">
        <v>907</v>
      </c>
      <c r="O936" s="103">
        <v>6715.0182788540988</v>
      </c>
      <c r="P936" s="103">
        <v>14913.421184531298</v>
      </c>
      <c r="Q936" s="103">
        <v>9204.4968571003465</v>
      </c>
    </row>
    <row r="937" spans="14:17" x14ac:dyDescent="0.55000000000000004">
      <c r="N937" s="103">
        <v>908</v>
      </c>
      <c r="O937" s="103">
        <v>11079.734316173253</v>
      </c>
      <c r="P937" s="103">
        <v>14913.421184531298</v>
      </c>
      <c r="Q937" s="103">
        <v>9204.4968571003465</v>
      </c>
    </row>
    <row r="938" spans="14:17" x14ac:dyDescent="0.55000000000000004">
      <c r="N938" s="103">
        <v>909</v>
      </c>
      <c r="O938" s="103">
        <v>10748.235750761718</v>
      </c>
      <c r="P938" s="103">
        <v>14913.421184531298</v>
      </c>
      <c r="Q938" s="103">
        <v>9204.4968571003465</v>
      </c>
    </row>
    <row r="939" spans="14:17" x14ac:dyDescent="0.55000000000000004">
      <c r="N939" s="103">
        <v>910</v>
      </c>
      <c r="O939" s="103">
        <v>7221.233897627013</v>
      </c>
      <c r="P939" s="103">
        <v>14913.421184531298</v>
      </c>
      <c r="Q939" s="103">
        <v>9204.4968571003465</v>
      </c>
    </row>
    <row r="940" spans="14:17" x14ac:dyDescent="0.55000000000000004">
      <c r="N940" s="103">
        <v>911</v>
      </c>
      <c r="O940" s="103">
        <v>-267106.43663876335</v>
      </c>
      <c r="P940" s="103">
        <v>14913.421184531298</v>
      </c>
      <c r="Q940" s="103">
        <v>9204.4968571003465</v>
      </c>
    </row>
    <row r="941" spans="14:17" x14ac:dyDescent="0.55000000000000004">
      <c r="N941" s="103">
        <v>912</v>
      </c>
      <c r="O941" s="103">
        <v>75263.680020129483</v>
      </c>
      <c r="P941" s="103">
        <v>14913.421184531298</v>
      </c>
      <c r="Q941" s="103">
        <v>9204.4968571003465</v>
      </c>
    </row>
    <row r="942" spans="14:17" x14ac:dyDescent="0.55000000000000004">
      <c r="N942" s="103">
        <v>913</v>
      </c>
      <c r="O942" s="103">
        <v>7010.8468370362589</v>
      </c>
      <c r="P942" s="103">
        <v>14913.421184531298</v>
      </c>
      <c r="Q942" s="103">
        <v>9204.4968571003465</v>
      </c>
    </row>
    <row r="943" spans="14:17" x14ac:dyDescent="0.55000000000000004">
      <c r="N943" s="103">
        <v>914</v>
      </c>
      <c r="O943" s="103">
        <v>-114912.48743858445</v>
      </c>
      <c r="P943" s="103">
        <v>14913.421184531298</v>
      </c>
      <c r="Q943" s="103">
        <v>9204.4968571003465</v>
      </c>
    </row>
    <row r="944" spans="14:17" x14ac:dyDescent="0.55000000000000004">
      <c r="N944" s="103">
        <v>915</v>
      </c>
      <c r="O944" s="103">
        <v>-3414.8153274660672</v>
      </c>
      <c r="P944" s="103">
        <v>14913.421184531298</v>
      </c>
      <c r="Q944" s="103">
        <v>9204.4968571003465</v>
      </c>
    </row>
    <row r="945" spans="14:17" x14ac:dyDescent="0.55000000000000004">
      <c r="N945" s="103">
        <v>916</v>
      </c>
      <c r="O945" s="103">
        <v>-18886.264374417777</v>
      </c>
      <c r="P945" s="103">
        <v>14913.421184531298</v>
      </c>
      <c r="Q945" s="103">
        <v>9204.4968571003465</v>
      </c>
    </row>
    <row r="946" spans="14:17" x14ac:dyDescent="0.55000000000000004">
      <c r="N946" s="103">
        <v>917</v>
      </c>
      <c r="O946" s="103">
        <v>-26930.693929368455</v>
      </c>
      <c r="P946" s="103">
        <v>14913.421184531298</v>
      </c>
      <c r="Q946" s="103">
        <v>9204.4968571003465</v>
      </c>
    </row>
    <row r="947" spans="14:17" x14ac:dyDescent="0.55000000000000004">
      <c r="N947" s="103">
        <v>918</v>
      </c>
      <c r="O947" s="103">
        <v>6427.6779498582164</v>
      </c>
      <c r="P947" s="103">
        <v>14913.421184531298</v>
      </c>
      <c r="Q947" s="103">
        <v>9204.4968571003465</v>
      </c>
    </row>
    <row r="948" spans="14:17" x14ac:dyDescent="0.55000000000000004">
      <c r="N948" s="103">
        <v>919</v>
      </c>
      <c r="O948" s="103">
        <v>-1117.4439702706632</v>
      </c>
      <c r="P948" s="103">
        <v>14913.421184531298</v>
      </c>
      <c r="Q948" s="103">
        <v>9204.4968571003465</v>
      </c>
    </row>
    <row r="949" spans="14:17" x14ac:dyDescent="0.55000000000000004">
      <c r="N949" s="103">
        <v>920</v>
      </c>
      <c r="O949" s="103">
        <v>24071.580074091959</v>
      </c>
      <c r="P949" s="103">
        <v>14913.421184531298</v>
      </c>
      <c r="Q949" s="103">
        <v>9204.4968571003465</v>
      </c>
    </row>
    <row r="950" spans="14:17" x14ac:dyDescent="0.55000000000000004">
      <c r="N950" s="103">
        <v>921</v>
      </c>
      <c r="O950" s="103">
        <v>42254.595603850925</v>
      </c>
      <c r="P950" s="103">
        <v>14913.421184531298</v>
      </c>
      <c r="Q950" s="103">
        <v>9204.4968571003465</v>
      </c>
    </row>
    <row r="951" spans="14:17" x14ac:dyDescent="0.55000000000000004">
      <c r="N951" s="103">
        <v>922</v>
      </c>
      <c r="O951" s="103">
        <v>4376.9926566480608</v>
      </c>
      <c r="P951" s="103">
        <v>14913.421184531298</v>
      </c>
      <c r="Q951" s="103">
        <v>9204.4968571003465</v>
      </c>
    </row>
    <row r="952" spans="14:17" x14ac:dyDescent="0.55000000000000004">
      <c r="N952" s="103">
        <v>923</v>
      </c>
      <c r="O952" s="103">
        <v>-105119.78732027809</v>
      </c>
      <c r="P952" s="103">
        <v>14913.421184531298</v>
      </c>
      <c r="Q952" s="103">
        <v>9204.4968571003465</v>
      </c>
    </row>
    <row r="953" spans="14:17" x14ac:dyDescent="0.55000000000000004">
      <c r="N953" s="103">
        <v>924</v>
      </c>
      <c r="O953" s="103">
        <v>16220.526780241747</v>
      </c>
      <c r="P953" s="103">
        <v>14913.421184531298</v>
      </c>
      <c r="Q953" s="103">
        <v>9204.4968571003465</v>
      </c>
    </row>
    <row r="954" spans="14:17" x14ac:dyDescent="0.55000000000000004">
      <c r="N954" s="103">
        <v>925</v>
      </c>
      <c r="O954" s="103">
        <v>5819.7366113262015</v>
      </c>
      <c r="P954" s="103">
        <v>14913.421184531298</v>
      </c>
      <c r="Q954" s="103">
        <v>9204.4968571003465</v>
      </c>
    </row>
    <row r="955" spans="14:17" x14ac:dyDescent="0.55000000000000004">
      <c r="N955" s="103">
        <v>926</v>
      </c>
      <c r="O955" s="103">
        <v>6476.8796636343486</v>
      </c>
      <c r="P955" s="103">
        <v>14913.421184531298</v>
      </c>
      <c r="Q955" s="103">
        <v>9204.4968571003465</v>
      </c>
    </row>
    <row r="956" spans="14:17" x14ac:dyDescent="0.55000000000000004">
      <c r="N956" s="103">
        <v>927</v>
      </c>
      <c r="O956" s="103">
        <v>7174.0690060675206</v>
      </c>
      <c r="P956" s="103">
        <v>14913.421184531298</v>
      </c>
      <c r="Q956" s="103">
        <v>9204.4968571003465</v>
      </c>
    </row>
    <row r="957" spans="14:17" x14ac:dyDescent="0.55000000000000004">
      <c r="N957" s="103">
        <v>928</v>
      </c>
      <c r="O957" s="103">
        <v>6103.1329801726151</v>
      </c>
      <c r="P957" s="103">
        <v>14913.421184531298</v>
      </c>
      <c r="Q957" s="103">
        <v>9204.4968571003465</v>
      </c>
    </row>
    <row r="958" spans="14:17" x14ac:dyDescent="0.55000000000000004">
      <c r="N958" s="103">
        <v>929</v>
      </c>
      <c r="O958" s="103">
        <v>-145466.62391823772</v>
      </c>
      <c r="P958" s="103">
        <v>14913.421184531298</v>
      </c>
      <c r="Q958" s="103">
        <v>9204.4968571003465</v>
      </c>
    </row>
    <row r="959" spans="14:17" x14ac:dyDescent="0.55000000000000004">
      <c r="N959" s="103">
        <v>930</v>
      </c>
      <c r="O959" s="103">
        <v>5855.6478687757226</v>
      </c>
      <c r="P959" s="103">
        <v>14913.421184531298</v>
      </c>
      <c r="Q959" s="103">
        <v>9204.4968571003465</v>
      </c>
    </row>
    <row r="960" spans="14:17" x14ac:dyDescent="0.55000000000000004">
      <c r="N960" s="103">
        <v>931</v>
      </c>
      <c r="O960" s="103">
        <v>-2981.136545437409</v>
      </c>
      <c r="P960" s="103">
        <v>14913.421184531298</v>
      </c>
      <c r="Q960" s="103">
        <v>9204.4968571003465</v>
      </c>
    </row>
    <row r="961" spans="14:17" x14ac:dyDescent="0.55000000000000004">
      <c r="N961" s="103">
        <v>932</v>
      </c>
      <c r="O961" s="103">
        <v>3232.4703389004439</v>
      </c>
      <c r="P961" s="103">
        <v>14913.421184531298</v>
      </c>
      <c r="Q961" s="103">
        <v>9204.4968571003465</v>
      </c>
    </row>
    <row r="962" spans="14:17" x14ac:dyDescent="0.55000000000000004">
      <c r="N962" s="103">
        <v>933</v>
      </c>
      <c r="O962" s="103">
        <v>6475.9163633392873</v>
      </c>
      <c r="P962" s="103">
        <v>14913.421184531298</v>
      </c>
      <c r="Q962" s="103">
        <v>9204.4968571003465</v>
      </c>
    </row>
    <row r="963" spans="14:17" x14ac:dyDescent="0.55000000000000004">
      <c r="N963" s="103">
        <v>934</v>
      </c>
      <c r="O963" s="103">
        <v>476448.34025802492</v>
      </c>
      <c r="P963" s="103">
        <v>14913.421184531298</v>
      </c>
      <c r="Q963" s="103">
        <v>9204.4968571003465</v>
      </c>
    </row>
    <row r="964" spans="14:17" x14ac:dyDescent="0.55000000000000004">
      <c r="N964" s="103">
        <v>935</v>
      </c>
      <c r="O964" s="103">
        <v>-6163.7500965001564</v>
      </c>
      <c r="P964" s="103">
        <v>14913.421184531298</v>
      </c>
      <c r="Q964" s="103">
        <v>9204.4968571003465</v>
      </c>
    </row>
    <row r="965" spans="14:17" x14ac:dyDescent="0.55000000000000004">
      <c r="N965" s="103">
        <v>936</v>
      </c>
      <c r="O965" s="103">
        <v>-92347.810266471119</v>
      </c>
      <c r="P965" s="103">
        <v>14913.421184531298</v>
      </c>
      <c r="Q965" s="103">
        <v>9204.4968571003465</v>
      </c>
    </row>
    <row r="966" spans="14:17" x14ac:dyDescent="0.55000000000000004">
      <c r="N966" s="103">
        <v>937</v>
      </c>
      <c r="O966" s="103">
        <v>-73824.652422718311</v>
      </c>
      <c r="P966" s="103">
        <v>14913.421184531298</v>
      </c>
      <c r="Q966" s="103">
        <v>9204.4968571003465</v>
      </c>
    </row>
    <row r="967" spans="14:17" x14ac:dyDescent="0.55000000000000004">
      <c r="N967" s="103">
        <v>938</v>
      </c>
      <c r="O967" s="103">
        <v>7277915.4320235793</v>
      </c>
      <c r="P967" s="103">
        <v>14913.421184531298</v>
      </c>
      <c r="Q967" s="103">
        <v>9204.4968571003465</v>
      </c>
    </row>
    <row r="968" spans="14:17" x14ac:dyDescent="0.55000000000000004">
      <c r="N968" s="103">
        <v>939</v>
      </c>
      <c r="O968" s="103">
        <v>482779.78176940192</v>
      </c>
      <c r="P968" s="103">
        <v>14913.421184531298</v>
      </c>
      <c r="Q968" s="103">
        <v>9204.4968571003465</v>
      </c>
    </row>
    <row r="969" spans="14:17" x14ac:dyDescent="0.55000000000000004">
      <c r="N969" s="103">
        <v>940</v>
      </c>
      <c r="O969" s="103">
        <v>918.09952550646676</v>
      </c>
      <c r="P969" s="103">
        <v>14913.421184531298</v>
      </c>
      <c r="Q969" s="103">
        <v>9204.4968571003465</v>
      </c>
    </row>
    <row r="970" spans="14:17" x14ac:dyDescent="0.55000000000000004">
      <c r="N970" s="103">
        <v>941</v>
      </c>
      <c r="O970" s="103">
        <v>31201.9965226938</v>
      </c>
      <c r="P970" s="103">
        <v>14913.421184531298</v>
      </c>
      <c r="Q970" s="103">
        <v>9204.4968571003465</v>
      </c>
    </row>
    <row r="971" spans="14:17" x14ac:dyDescent="0.55000000000000004">
      <c r="N971" s="103">
        <v>942</v>
      </c>
      <c r="O971" s="103">
        <v>6885.93658372754</v>
      </c>
      <c r="P971" s="103">
        <v>14913.421184531298</v>
      </c>
      <c r="Q971" s="103">
        <v>9204.4968571003465</v>
      </c>
    </row>
    <row r="972" spans="14:17" x14ac:dyDescent="0.55000000000000004">
      <c r="N972" s="103">
        <v>943</v>
      </c>
      <c r="O972" s="103">
        <v>933.2472776322461</v>
      </c>
      <c r="P972" s="103">
        <v>14913.421184531298</v>
      </c>
      <c r="Q972" s="103">
        <v>9204.4968571003465</v>
      </c>
    </row>
    <row r="973" spans="14:17" x14ac:dyDescent="0.55000000000000004">
      <c r="N973" s="103">
        <v>944</v>
      </c>
      <c r="O973" s="103">
        <v>4995676.3727865666</v>
      </c>
      <c r="P973" s="103">
        <v>14913.421184531298</v>
      </c>
      <c r="Q973" s="103">
        <v>9204.4968571003465</v>
      </c>
    </row>
    <row r="974" spans="14:17" x14ac:dyDescent="0.55000000000000004">
      <c r="N974" s="103">
        <v>945</v>
      </c>
      <c r="O974" s="103">
        <v>-9720.5383347078368</v>
      </c>
      <c r="P974" s="103">
        <v>14913.421184531298</v>
      </c>
      <c r="Q974" s="103">
        <v>9204.4968571003465</v>
      </c>
    </row>
    <row r="975" spans="14:17" x14ac:dyDescent="0.55000000000000004">
      <c r="N975" s="103">
        <v>946</v>
      </c>
      <c r="O975" s="103">
        <v>-1569.6390220152962</v>
      </c>
      <c r="P975" s="103">
        <v>14913.421184531298</v>
      </c>
      <c r="Q975" s="103">
        <v>9204.4968571003465</v>
      </c>
    </row>
    <row r="976" spans="14:17" x14ac:dyDescent="0.55000000000000004">
      <c r="N976" s="103">
        <v>947</v>
      </c>
      <c r="O976" s="103">
        <v>-10054.920071217161</v>
      </c>
      <c r="P976" s="103">
        <v>14913.421184531298</v>
      </c>
      <c r="Q976" s="103">
        <v>9204.4968571003465</v>
      </c>
    </row>
    <row r="977" spans="14:17" x14ac:dyDescent="0.55000000000000004">
      <c r="N977" s="103">
        <v>948</v>
      </c>
      <c r="O977" s="103">
        <v>-52684.678524836534</v>
      </c>
      <c r="P977" s="103">
        <v>14913.421184531298</v>
      </c>
      <c r="Q977" s="103">
        <v>9204.4968571003465</v>
      </c>
    </row>
    <row r="978" spans="14:17" x14ac:dyDescent="0.55000000000000004">
      <c r="N978" s="103">
        <v>949</v>
      </c>
      <c r="O978" s="103">
        <v>-3177.0297655484683</v>
      </c>
      <c r="P978" s="103">
        <v>14913.421184531298</v>
      </c>
      <c r="Q978" s="103">
        <v>9204.4968571003465</v>
      </c>
    </row>
    <row r="979" spans="14:17" x14ac:dyDescent="0.55000000000000004">
      <c r="N979" s="103">
        <v>950</v>
      </c>
      <c r="O979" s="103">
        <v>-38368.998767217126</v>
      </c>
      <c r="P979" s="103">
        <v>14913.421184531298</v>
      </c>
      <c r="Q979" s="103">
        <v>9204.4968571003465</v>
      </c>
    </row>
    <row r="980" spans="14:17" x14ac:dyDescent="0.55000000000000004">
      <c r="N980" s="103">
        <v>951</v>
      </c>
      <c r="O980" s="103">
        <v>-2395.6644673067003</v>
      </c>
      <c r="P980" s="103">
        <v>14913.421184531298</v>
      </c>
      <c r="Q980" s="103">
        <v>9204.4968571003465</v>
      </c>
    </row>
    <row r="981" spans="14:17" x14ac:dyDescent="0.55000000000000004">
      <c r="N981" s="103">
        <v>952</v>
      </c>
      <c r="O981" s="103">
        <v>-501.70653997489808</v>
      </c>
      <c r="P981" s="103">
        <v>14913.421184531298</v>
      </c>
      <c r="Q981" s="103">
        <v>9204.4968571003465</v>
      </c>
    </row>
    <row r="982" spans="14:17" x14ac:dyDescent="0.55000000000000004">
      <c r="N982" s="103">
        <v>953</v>
      </c>
      <c r="O982" s="103">
        <v>4658.783189748352</v>
      </c>
      <c r="P982" s="103">
        <v>14913.421184531298</v>
      </c>
      <c r="Q982" s="103">
        <v>9204.4968571003465</v>
      </c>
    </row>
    <row r="983" spans="14:17" x14ac:dyDescent="0.55000000000000004">
      <c r="N983" s="103">
        <v>954</v>
      </c>
      <c r="O983" s="103">
        <v>11045.488814077227</v>
      </c>
      <c r="P983" s="103">
        <v>14913.421184531298</v>
      </c>
      <c r="Q983" s="103">
        <v>9204.4968571003465</v>
      </c>
    </row>
    <row r="984" spans="14:17" x14ac:dyDescent="0.55000000000000004">
      <c r="N984" s="103">
        <v>955</v>
      </c>
      <c r="O984" s="103">
        <v>6757.5806293663263</v>
      </c>
      <c r="P984" s="103">
        <v>14913.421184531298</v>
      </c>
      <c r="Q984" s="103">
        <v>9204.4968571003465</v>
      </c>
    </row>
    <row r="985" spans="14:17" x14ac:dyDescent="0.55000000000000004">
      <c r="N985" s="103">
        <v>956</v>
      </c>
      <c r="O985" s="103">
        <v>4736.597248228898</v>
      </c>
      <c r="P985" s="103">
        <v>14913.421184531298</v>
      </c>
      <c r="Q985" s="103">
        <v>9204.4968571003465</v>
      </c>
    </row>
    <row r="986" spans="14:17" x14ac:dyDescent="0.55000000000000004">
      <c r="N986" s="103">
        <v>957</v>
      </c>
      <c r="O986" s="103">
        <v>19338.307231268333</v>
      </c>
      <c r="P986" s="103">
        <v>14913.421184531298</v>
      </c>
      <c r="Q986" s="103">
        <v>9204.4968571003465</v>
      </c>
    </row>
    <row r="987" spans="14:17" x14ac:dyDescent="0.55000000000000004">
      <c r="N987" s="103">
        <v>958</v>
      </c>
      <c r="O987" s="103">
        <v>5667.7308075374422</v>
      </c>
      <c r="P987" s="103">
        <v>14913.421184531298</v>
      </c>
      <c r="Q987" s="103">
        <v>9204.4968571003465</v>
      </c>
    </row>
    <row r="988" spans="14:17" x14ac:dyDescent="0.55000000000000004">
      <c r="N988" s="103">
        <v>959</v>
      </c>
      <c r="O988" s="103">
        <v>-2144.2096747082269</v>
      </c>
      <c r="P988" s="103">
        <v>14913.421184531298</v>
      </c>
      <c r="Q988" s="103">
        <v>9204.4968571003465</v>
      </c>
    </row>
    <row r="989" spans="14:17" x14ac:dyDescent="0.55000000000000004">
      <c r="N989" s="103">
        <v>960</v>
      </c>
      <c r="O989" s="103">
        <v>9391.1750489766928</v>
      </c>
      <c r="P989" s="103">
        <v>14913.421184531298</v>
      </c>
      <c r="Q989" s="103">
        <v>9204.4968571003465</v>
      </c>
    </row>
    <row r="990" spans="14:17" x14ac:dyDescent="0.55000000000000004">
      <c r="N990" s="103">
        <v>961</v>
      </c>
      <c r="O990" s="103">
        <v>-4240.2720576931642</v>
      </c>
      <c r="P990" s="103">
        <v>14913.421184531298</v>
      </c>
      <c r="Q990" s="103">
        <v>9204.4968571003465</v>
      </c>
    </row>
    <row r="991" spans="14:17" x14ac:dyDescent="0.55000000000000004">
      <c r="N991" s="103">
        <v>962</v>
      </c>
      <c r="O991" s="103">
        <v>-5789.5383224274156</v>
      </c>
      <c r="P991" s="103">
        <v>14913.421184531298</v>
      </c>
      <c r="Q991" s="103">
        <v>9204.4968571003465</v>
      </c>
    </row>
    <row r="992" spans="14:17" x14ac:dyDescent="0.55000000000000004">
      <c r="N992" s="103">
        <v>963</v>
      </c>
      <c r="O992" s="103">
        <v>-15964.783955139672</v>
      </c>
      <c r="P992" s="103">
        <v>14913.421184531298</v>
      </c>
      <c r="Q992" s="103">
        <v>9204.4968571003465</v>
      </c>
    </row>
    <row r="993" spans="14:17" x14ac:dyDescent="0.55000000000000004">
      <c r="N993" s="103">
        <v>964</v>
      </c>
      <c r="O993" s="103">
        <v>6814.3812272924206</v>
      </c>
      <c r="P993" s="103">
        <v>14913.421184531298</v>
      </c>
      <c r="Q993" s="103">
        <v>9204.4968571003465</v>
      </c>
    </row>
    <row r="994" spans="14:17" x14ac:dyDescent="0.55000000000000004">
      <c r="N994" s="103">
        <v>965</v>
      </c>
      <c r="O994" s="103">
        <v>-5946.332396148915</v>
      </c>
      <c r="P994" s="103">
        <v>14913.421184531298</v>
      </c>
      <c r="Q994" s="103">
        <v>9204.4968571003465</v>
      </c>
    </row>
    <row r="995" spans="14:17" x14ac:dyDescent="0.55000000000000004">
      <c r="N995" s="103">
        <v>966</v>
      </c>
      <c r="O995" s="103">
        <v>8013.820560579039</v>
      </c>
      <c r="P995" s="103">
        <v>14913.421184531298</v>
      </c>
      <c r="Q995" s="103">
        <v>9204.4968571003465</v>
      </c>
    </row>
    <row r="996" spans="14:17" x14ac:dyDescent="0.55000000000000004">
      <c r="N996" s="103">
        <v>967</v>
      </c>
      <c r="O996" s="103">
        <v>29867.362968643716</v>
      </c>
      <c r="P996" s="103">
        <v>14913.421184531298</v>
      </c>
      <c r="Q996" s="103">
        <v>9204.4968571003465</v>
      </c>
    </row>
    <row r="997" spans="14:17" x14ac:dyDescent="0.55000000000000004">
      <c r="N997" s="103">
        <v>968</v>
      </c>
      <c r="O997" s="103">
        <v>6011.1202354320294</v>
      </c>
      <c r="P997" s="103">
        <v>14913.421184531298</v>
      </c>
      <c r="Q997" s="103">
        <v>9204.4968571003465</v>
      </c>
    </row>
    <row r="998" spans="14:17" x14ac:dyDescent="0.55000000000000004">
      <c r="N998" s="103">
        <v>969</v>
      </c>
      <c r="O998" s="103">
        <v>32672.748725774298</v>
      </c>
      <c r="P998" s="103">
        <v>14913.421184531298</v>
      </c>
      <c r="Q998" s="103">
        <v>9204.4968571003465</v>
      </c>
    </row>
    <row r="999" spans="14:17" x14ac:dyDescent="0.55000000000000004">
      <c r="N999" s="103">
        <v>970</v>
      </c>
      <c r="O999" s="103">
        <v>9007.0454702142615</v>
      </c>
      <c r="P999" s="103">
        <v>14913.421184531298</v>
      </c>
      <c r="Q999" s="103">
        <v>9204.4968571003465</v>
      </c>
    </row>
    <row r="1000" spans="14:17" x14ac:dyDescent="0.55000000000000004">
      <c r="N1000" s="103">
        <v>971</v>
      </c>
      <c r="O1000" s="103">
        <v>-19513.678884923316</v>
      </c>
      <c r="P1000" s="103">
        <v>14913.421184531298</v>
      </c>
      <c r="Q1000" s="103">
        <v>9204.4968571003465</v>
      </c>
    </row>
    <row r="1001" spans="14:17" x14ac:dyDescent="0.55000000000000004">
      <c r="N1001" s="103">
        <v>972</v>
      </c>
      <c r="O1001" s="103">
        <v>10276.327760666652</v>
      </c>
      <c r="P1001" s="103">
        <v>14913.421184531298</v>
      </c>
      <c r="Q1001" s="103">
        <v>9204.4968571003465</v>
      </c>
    </row>
    <row r="1002" spans="14:17" x14ac:dyDescent="0.55000000000000004">
      <c r="N1002" s="103">
        <v>973</v>
      </c>
      <c r="O1002" s="103">
        <v>24449.320912068077</v>
      </c>
      <c r="P1002" s="103">
        <v>14913.421184531298</v>
      </c>
      <c r="Q1002" s="103">
        <v>9204.4968571003465</v>
      </c>
    </row>
    <row r="1003" spans="14:17" x14ac:dyDescent="0.55000000000000004">
      <c r="N1003" s="103">
        <v>974</v>
      </c>
      <c r="O1003" s="103">
        <v>5113.0061554907652</v>
      </c>
      <c r="P1003" s="103">
        <v>14913.421184531298</v>
      </c>
      <c r="Q1003" s="103">
        <v>9204.4968571003465</v>
      </c>
    </row>
    <row r="1004" spans="14:17" x14ac:dyDescent="0.55000000000000004">
      <c r="N1004" s="103">
        <v>975</v>
      </c>
      <c r="O1004" s="103">
        <v>-1093.3891635716855</v>
      </c>
      <c r="P1004" s="103">
        <v>14913.421184531298</v>
      </c>
      <c r="Q1004" s="103">
        <v>9204.4968571003465</v>
      </c>
    </row>
    <row r="1005" spans="14:17" x14ac:dyDescent="0.55000000000000004">
      <c r="N1005" s="103">
        <v>976</v>
      </c>
      <c r="O1005" s="103">
        <v>36915.136082945137</v>
      </c>
      <c r="P1005" s="103">
        <v>14913.421184531298</v>
      </c>
      <c r="Q1005" s="103">
        <v>9204.4968571003465</v>
      </c>
    </row>
    <row r="1006" spans="14:17" x14ac:dyDescent="0.55000000000000004">
      <c r="N1006" s="103">
        <v>977</v>
      </c>
      <c r="O1006" s="103">
        <v>10120.434800082345</v>
      </c>
      <c r="P1006" s="103">
        <v>14913.421184531298</v>
      </c>
      <c r="Q1006" s="103">
        <v>9204.4968571003465</v>
      </c>
    </row>
    <row r="1007" spans="14:17" x14ac:dyDescent="0.55000000000000004">
      <c r="N1007" s="103">
        <v>978</v>
      </c>
      <c r="O1007" s="103">
        <v>-7495.6467214159629</v>
      </c>
      <c r="P1007" s="103">
        <v>14913.421184531298</v>
      </c>
      <c r="Q1007" s="103">
        <v>9204.4968571003465</v>
      </c>
    </row>
    <row r="1008" spans="14:17" x14ac:dyDescent="0.55000000000000004">
      <c r="N1008" s="103">
        <v>979</v>
      </c>
      <c r="O1008" s="103">
        <v>12345.437493614198</v>
      </c>
      <c r="P1008" s="103">
        <v>14913.421184531298</v>
      </c>
      <c r="Q1008" s="103">
        <v>9204.4968571003465</v>
      </c>
    </row>
    <row r="1009" spans="14:17" x14ac:dyDescent="0.55000000000000004">
      <c r="N1009" s="103">
        <v>980</v>
      </c>
      <c r="O1009" s="103">
        <v>5367.1830825114484</v>
      </c>
      <c r="P1009" s="103">
        <v>14913.421184531298</v>
      </c>
      <c r="Q1009" s="103">
        <v>9204.4968571003465</v>
      </c>
    </row>
    <row r="1010" spans="14:17" x14ac:dyDescent="0.55000000000000004">
      <c r="N1010" s="103">
        <v>981</v>
      </c>
      <c r="O1010" s="103">
        <v>6898.4678774020595</v>
      </c>
      <c r="P1010" s="103">
        <v>14913.421184531298</v>
      </c>
      <c r="Q1010" s="103">
        <v>9204.4968571003465</v>
      </c>
    </row>
    <row r="1011" spans="14:17" x14ac:dyDescent="0.55000000000000004">
      <c r="N1011" s="103">
        <v>982</v>
      </c>
      <c r="O1011" s="103">
        <v>6846.7784271412675</v>
      </c>
      <c r="P1011" s="103">
        <v>14913.421184531298</v>
      </c>
      <c r="Q1011" s="103">
        <v>9204.4968571003465</v>
      </c>
    </row>
    <row r="1012" spans="14:17" x14ac:dyDescent="0.55000000000000004">
      <c r="N1012" s="103">
        <v>983</v>
      </c>
      <c r="O1012" s="103">
        <v>6448.066652732171</v>
      </c>
      <c r="P1012" s="103">
        <v>14913.421184531298</v>
      </c>
      <c r="Q1012" s="103">
        <v>9204.4968571003465</v>
      </c>
    </row>
    <row r="1013" spans="14:17" x14ac:dyDescent="0.55000000000000004">
      <c r="N1013" s="103">
        <v>984</v>
      </c>
      <c r="O1013" s="103">
        <v>5800.1379077734673</v>
      </c>
      <c r="P1013" s="103">
        <v>14913.421184531298</v>
      </c>
      <c r="Q1013" s="103">
        <v>9204.4968571003465</v>
      </c>
    </row>
    <row r="1014" spans="14:17" x14ac:dyDescent="0.55000000000000004">
      <c r="N1014" s="103">
        <v>985</v>
      </c>
      <c r="O1014" s="103">
        <v>14000.530614367295</v>
      </c>
      <c r="P1014" s="103">
        <v>14913.421184531298</v>
      </c>
      <c r="Q1014" s="103">
        <v>9204.4968571003465</v>
      </c>
    </row>
    <row r="1015" spans="14:17" x14ac:dyDescent="0.55000000000000004">
      <c r="N1015" s="103">
        <v>986</v>
      </c>
      <c r="O1015" s="103">
        <v>3741.1290612911557</v>
      </c>
      <c r="P1015" s="103">
        <v>14913.421184531298</v>
      </c>
      <c r="Q1015" s="103">
        <v>9204.4968571003465</v>
      </c>
    </row>
    <row r="1016" spans="14:17" x14ac:dyDescent="0.55000000000000004">
      <c r="N1016" s="103">
        <v>987</v>
      </c>
      <c r="O1016" s="103">
        <v>-2790.030454120124</v>
      </c>
      <c r="P1016" s="103">
        <v>14913.421184531298</v>
      </c>
      <c r="Q1016" s="103">
        <v>9204.4968571003465</v>
      </c>
    </row>
    <row r="1017" spans="14:17" x14ac:dyDescent="0.55000000000000004">
      <c r="N1017" s="103">
        <v>988</v>
      </c>
      <c r="O1017" s="103">
        <v>9368.0612510660794</v>
      </c>
      <c r="P1017" s="103">
        <v>14913.421184531298</v>
      </c>
      <c r="Q1017" s="103">
        <v>9204.4968571003465</v>
      </c>
    </row>
    <row r="1018" spans="14:17" x14ac:dyDescent="0.55000000000000004">
      <c r="N1018" s="103">
        <v>989</v>
      </c>
      <c r="O1018" s="103">
        <v>-2344.1179982142585</v>
      </c>
      <c r="P1018" s="103">
        <v>14913.421184531298</v>
      </c>
      <c r="Q1018" s="103">
        <v>9204.4968571003465</v>
      </c>
    </row>
    <row r="1019" spans="14:17" x14ac:dyDescent="0.55000000000000004">
      <c r="N1019" s="103">
        <v>990</v>
      </c>
      <c r="O1019" s="103">
        <v>4954.7347370461121</v>
      </c>
      <c r="P1019" s="103">
        <v>14913.421184531298</v>
      </c>
      <c r="Q1019" s="103">
        <v>9204.4968571003465</v>
      </c>
    </row>
    <row r="1020" spans="14:17" x14ac:dyDescent="0.55000000000000004">
      <c r="N1020" s="103">
        <v>991</v>
      </c>
      <c r="O1020" s="103">
        <v>14498.248861025901</v>
      </c>
      <c r="P1020" s="103">
        <v>14913.421184531298</v>
      </c>
      <c r="Q1020" s="103">
        <v>9204.4968571003465</v>
      </c>
    </row>
    <row r="1021" spans="14:17" x14ac:dyDescent="0.55000000000000004">
      <c r="N1021" s="103">
        <v>992</v>
      </c>
      <c r="O1021" s="103">
        <v>46999.905335507807</v>
      </c>
      <c r="P1021" s="103">
        <v>14913.421184531298</v>
      </c>
      <c r="Q1021" s="103">
        <v>9204.4968571003465</v>
      </c>
    </row>
    <row r="1022" spans="14:17" x14ac:dyDescent="0.55000000000000004">
      <c r="N1022" s="103">
        <v>993</v>
      </c>
      <c r="O1022" s="103">
        <v>-684.40283927436576</v>
      </c>
      <c r="P1022" s="103">
        <v>14913.421184531298</v>
      </c>
      <c r="Q1022" s="103">
        <v>9204.4968571003465</v>
      </c>
    </row>
    <row r="1023" spans="14:17" x14ac:dyDescent="0.55000000000000004">
      <c r="N1023" s="103">
        <v>994</v>
      </c>
      <c r="O1023" s="103">
        <v>74029.704544568231</v>
      </c>
      <c r="P1023" s="103">
        <v>14913.421184531298</v>
      </c>
      <c r="Q1023" s="103">
        <v>9204.4968571003465</v>
      </c>
    </row>
    <row r="1024" spans="14:17" x14ac:dyDescent="0.55000000000000004">
      <c r="N1024" s="103">
        <v>995</v>
      </c>
      <c r="O1024" s="103">
        <v>216.59974375727597</v>
      </c>
      <c r="P1024" s="103">
        <v>14913.421184531298</v>
      </c>
      <c r="Q1024" s="103">
        <v>9204.4968571003465</v>
      </c>
    </row>
    <row r="1025" spans="14:17" x14ac:dyDescent="0.55000000000000004">
      <c r="N1025" s="103">
        <v>996</v>
      </c>
      <c r="O1025" s="103">
        <v>7235.0749051407984</v>
      </c>
      <c r="P1025" s="103">
        <v>14913.421184531298</v>
      </c>
      <c r="Q1025" s="103">
        <v>9204.4968571003465</v>
      </c>
    </row>
    <row r="1026" spans="14:17" x14ac:dyDescent="0.55000000000000004">
      <c r="N1026" s="103">
        <v>997</v>
      </c>
      <c r="O1026" s="103">
        <v>9863.1534570691401</v>
      </c>
      <c r="P1026" s="103">
        <v>14913.421184531298</v>
      </c>
      <c r="Q1026" s="103">
        <v>9204.4968571003465</v>
      </c>
    </row>
    <row r="1027" spans="14:17" x14ac:dyDescent="0.55000000000000004">
      <c r="N1027" s="103">
        <v>998</v>
      </c>
      <c r="O1027" s="103">
        <v>-1954.2684980846061</v>
      </c>
      <c r="P1027" s="103">
        <v>14913.421184531298</v>
      </c>
      <c r="Q1027" s="103">
        <v>9204.4968571003465</v>
      </c>
    </row>
    <row r="1028" spans="14:17" x14ac:dyDescent="0.55000000000000004">
      <c r="N1028" s="103">
        <v>999</v>
      </c>
      <c r="O1028" s="103">
        <v>4278.9648544559332</v>
      </c>
      <c r="P1028" s="103">
        <v>14913.421184531298</v>
      </c>
      <c r="Q1028" s="103">
        <v>9204.4968571003465</v>
      </c>
    </row>
    <row r="1029" spans="14:17" x14ac:dyDescent="0.55000000000000004">
      <c r="N1029" s="103">
        <v>1000</v>
      </c>
      <c r="O1029" s="103">
        <v>5426.684898398923</v>
      </c>
      <c r="P1029" s="103">
        <v>14913.421184531298</v>
      </c>
      <c r="Q1029" s="103">
        <v>9204.4968571003465</v>
      </c>
    </row>
  </sheetData>
  <mergeCells count="1">
    <mergeCell ref="AC2:AF2"/>
  </mergeCells>
  <pageMargins left="0.7" right="0.7" top="0.75" bottom="0.75" header="0.3" footer="0.3"/>
  <ignoredErrors>
    <ignoredError sqref="E11:H11"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صورت های سود و زیان</vt:lpstr>
      <vt:lpstr>صورت های ترازنامه</vt:lpstr>
      <vt:lpstr>نسبت های مقایسه ای</vt:lpstr>
      <vt:lpstr>ساختار هزینه</vt:lpstr>
      <vt:lpstr>ترکیب فروش شبندر</vt:lpstr>
      <vt:lpstr>تحلیل ترکیبی حاشیه سود</vt:lpstr>
      <vt:lpstr>تحلیل Dupont</vt:lpstr>
      <vt:lpstr>تحلیل ترکیبی ROIC</vt:lpstr>
      <vt:lpstr>نسبت فراورده ها</vt:lpstr>
      <vt:lpstr>جدول فرضیات و مدل کلی</vt:lpstr>
      <vt:lpstr>پیش بینی فروش</vt:lpstr>
      <vt:lpstr>پیش بینی بهای تمام شده</vt:lpstr>
      <vt:lpstr>پیش بینی سایر</vt:lpstr>
      <vt:lpstr>  ارز-دلار نیمایی      </vt:lpstr>
      <vt:lpstr>نسبت قیمت نفت‌گاز به نفت برنت</vt:lpstr>
      <vt:lpstr>رویترز</vt:lpstr>
      <vt:lpstr>پیش‌بینی صورت سود و زیان</vt:lpstr>
      <vt:lpstr>بتا و نرخ تنزیل</vt:lpstr>
      <vt:lpstr>ارزشگذاری P|E</vt:lpstr>
      <vt:lpstr>ارزشگذاری P|S</vt:lpstr>
      <vt:lpstr>ارزشگذاری DDM</vt:lpstr>
      <vt:lpstr>ارزشگذاری نهایی</vt:lpstr>
      <vt:lpstr>تحلیل حساسیت</vt:lpstr>
      <vt:lpstr>متغیرهای مونت کارلو</vt:lpstr>
      <vt:lpstr>مونت کارلو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2022-02-17T04:37:18Z</dcterms:modified>
</cp:coreProperties>
</file>