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PC\ANTENAS\PC2\"/>
    </mc:Choice>
  </mc:AlternateContent>
  <xr:revisionPtr revIDLastSave="0" documentId="8_{EBD30632-9A3D-413D-8405-C0995BFC9066}" xr6:coauthVersionLast="47" xr6:coauthVersionMax="47" xr10:uidLastSave="{00000000-0000-0000-0000-000000000000}"/>
  <bookViews>
    <workbookView xWindow="11424" yWindow="0" windowWidth="11712" windowHeight="12336" activeTab="1" xr2:uid="{00000000-000D-0000-FFFF-FFFF00000000}"/>
  </bookViews>
  <sheets>
    <sheet name="6.1" sheetId="4" r:id="rId1"/>
    <sheet name="Hoja10" sheetId="10" r:id="rId2"/>
    <sheet name="Hoja1" sheetId="1" r:id="rId3"/>
    <sheet name="Hoja1 (2)" sheetId="3" r:id="rId4"/>
    <sheet name="6.2" sheetId="6" r:id="rId5"/>
    <sheet name="6.3" sheetId="5" r:id="rId6"/>
    <sheet name="6.4" sheetId="7" r:id="rId7"/>
    <sheet name="6.41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10" l="1"/>
  <c r="C6" i="10"/>
  <c r="O11" i="4"/>
  <c r="H19" i="4"/>
  <c r="O30" i="4"/>
  <c r="O23" i="4"/>
  <c r="O17" i="4"/>
  <c r="H42" i="4"/>
  <c r="H41" i="4"/>
  <c r="H40" i="4"/>
  <c r="H39" i="4"/>
  <c r="J37" i="4"/>
  <c r="H37" i="4"/>
  <c r="H36" i="4"/>
  <c r="H35" i="4"/>
  <c r="H33" i="4"/>
  <c r="H32" i="4"/>
  <c r="H31" i="4"/>
  <c r="H23" i="4"/>
  <c r="H22" i="4"/>
  <c r="H20" i="4"/>
  <c r="J11" i="4"/>
  <c r="J28" i="4"/>
  <c r="J17" i="4"/>
  <c r="H28" i="4"/>
  <c r="H17" i="4"/>
  <c r="M27" i="4"/>
  <c r="J8" i="4"/>
  <c r="H8" i="4"/>
  <c r="C16" i="9"/>
  <c r="L3" i="9"/>
  <c r="L2" i="9"/>
  <c r="L8" i="9"/>
  <c r="L1" i="9"/>
  <c r="L5" i="9" s="1"/>
  <c r="E9" i="9" s="1"/>
  <c r="C14" i="9" s="1"/>
  <c r="L9" i="9"/>
  <c r="L10" i="9"/>
  <c r="C22" i="9"/>
  <c r="C23" i="9"/>
  <c r="F23" i="9" s="1"/>
  <c r="I9" i="5"/>
  <c r="I6" i="5"/>
  <c r="L9" i="5"/>
  <c r="L6" i="5"/>
  <c r="J6" i="6"/>
  <c r="K3" i="6"/>
  <c r="L3" i="5"/>
  <c r="H5" i="4"/>
  <c r="H10" i="4" s="1"/>
  <c r="E1" i="3"/>
  <c r="F1" i="3"/>
  <c r="F2" i="3"/>
  <c r="F4" i="3"/>
  <c r="F5" i="3"/>
  <c r="G5" i="3" s="1"/>
  <c r="J7" i="3" a="1"/>
  <c r="J7" i="3" s="1"/>
  <c r="J14" i="3"/>
  <c r="J15" i="3"/>
  <c r="J16" i="3"/>
  <c r="J17" i="3"/>
  <c r="J18" i="3"/>
  <c r="J19" i="3"/>
  <c r="J20" i="3"/>
  <c r="J21" i="3"/>
  <c r="J22" i="3"/>
  <c r="H24" i="4" l="1"/>
  <c r="H13" i="4"/>
  <c r="H11" i="4"/>
  <c r="J22" i="4"/>
  <c r="C15" i="9"/>
  <c r="M14" i="9"/>
  <c r="H14" i="9"/>
  <c r="M7" i="1"/>
  <c r="M8" i="1"/>
  <c r="S10" i="1"/>
  <c r="I56" i="1"/>
  <c r="O59" i="1"/>
  <c r="O60" i="1"/>
  <c r="O63" i="1"/>
  <c r="N57" i="1"/>
  <c r="O57" i="1" s="1"/>
  <c r="N58" i="1"/>
  <c r="O58" i="1" s="1"/>
  <c r="N59" i="1"/>
  <c r="N60" i="1"/>
  <c r="N61" i="1"/>
  <c r="O61" i="1" s="1"/>
  <c r="N62" i="1"/>
  <c r="O62" i="1" s="1"/>
  <c r="N63" i="1"/>
  <c r="N64" i="1"/>
  <c r="O64" i="1" s="1"/>
  <c r="N65" i="1"/>
  <c r="O65" i="1" s="1"/>
  <c r="N66" i="1"/>
  <c r="O66" i="1" s="1"/>
  <c r="J63" i="1"/>
  <c r="J64" i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I64" i="1"/>
  <c r="I65" i="1"/>
  <c r="J65" i="1" s="1"/>
  <c r="I66" i="1"/>
  <c r="J66" i="1" s="1"/>
  <c r="I43" i="1"/>
  <c r="I44" i="1"/>
  <c r="I45" i="1"/>
  <c r="I46" i="1"/>
  <c r="I47" i="1"/>
  <c r="I48" i="1"/>
  <c r="I49" i="1"/>
  <c r="I50" i="1"/>
  <c r="I51" i="1"/>
  <c r="I52" i="1"/>
  <c r="I42" i="1"/>
  <c r="I11" i="1"/>
  <c r="G10" i="1"/>
  <c r="G11" i="1"/>
  <c r="F10" i="1"/>
  <c r="J18" i="1" s="1"/>
  <c r="F11" i="1"/>
  <c r="G9" i="1"/>
  <c r="F9" i="1"/>
  <c r="F18" i="1" s="1"/>
  <c r="K21" i="1" l="1"/>
  <c r="S15" i="1"/>
  <c r="S13" i="1"/>
  <c r="N56" i="1"/>
  <c r="O56" i="1" s="1"/>
  <c r="J56" i="1"/>
  <c r="E14" i="1"/>
  <c r="F17" i="1"/>
  <c r="J17" i="1"/>
  <c r="J16" i="1"/>
  <c r="H23" i="1" s="1"/>
  <c r="L18" i="1"/>
  <c r="F16" i="1"/>
  <c r="H21" i="1"/>
  <c r="H24" i="1" s="1"/>
  <c r="L16" i="1" l="1"/>
  <c r="H2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<sst xmlns="http://schemas.openxmlformats.org/spreadsheetml/2006/main" count="193" uniqueCount="118">
  <si>
    <t>L</t>
  </si>
  <si>
    <t>C</t>
  </si>
  <si>
    <t>A</t>
  </si>
  <si>
    <t>B</t>
  </si>
  <si>
    <t>R</t>
  </si>
  <si>
    <t>G</t>
  </si>
  <si>
    <t>G4</t>
  </si>
  <si>
    <t>f</t>
  </si>
  <si>
    <t>w</t>
  </si>
  <si>
    <t>y</t>
  </si>
  <si>
    <t>vf</t>
  </si>
  <si>
    <t>zo</t>
  </si>
  <si>
    <t>alfa</t>
  </si>
  <si>
    <t>Z</t>
  </si>
  <si>
    <t>Y</t>
  </si>
  <si>
    <t>z0</t>
  </si>
  <si>
    <t>pregunta</t>
  </si>
  <si>
    <t>z'</t>
  </si>
  <si>
    <t>z''</t>
  </si>
  <si>
    <t>Columna1</t>
  </si>
  <si>
    <t>SEMANA-10</t>
  </si>
  <si>
    <t>a</t>
  </si>
  <si>
    <t>b</t>
  </si>
  <si>
    <t>modulo zo</t>
  </si>
  <si>
    <t>c</t>
  </si>
  <si>
    <t>Vo</t>
  </si>
  <si>
    <t>pot</t>
  </si>
  <si>
    <t>CASO C</t>
  </si>
  <si>
    <t xml:space="preserve">CASO B </t>
  </si>
  <si>
    <t>Zo</t>
  </si>
  <si>
    <t>f(khz)</t>
  </si>
  <si>
    <t>formula</t>
  </si>
  <si>
    <t>CASO A</t>
  </si>
  <si>
    <t xml:space="preserve">50 × 10⁶ </t>
  </si>
  <si>
    <t>f = 50 MHz = 50 × 10⁶ Hz</t>
  </si>
  <si>
    <t>REYMUNDO R RENZO</t>
  </si>
  <si>
    <t xml:space="preserve">10⁻⁶ </t>
  </si>
  <si>
    <t>G = 10⁻⁶ S/m</t>
  </si>
  <si>
    <t>BARRIONUEVO Q JOEL</t>
  </si>
  <si>
    <t>R = 0.1 Ω/m</t>
  </si>
  <si>
    <t xml:space="preserve">ARENAS R CARLOS </t>
  </si>
  <si>
    <t xml:space="preserve">30 × 10⁻¹² </t>
  </si>
  <si>
    <t>C = 30 pF/m = 30 × 10⁻¹² F/m</t>
  </si>
  <si>
    <t>G1</t>
  </si>
  <si>
    <t xml:space="preserve">INTEGRANTES </t>
  </si>
  <si>
    <t>1.2*10⁻⁶</t>
  </si>
  <si>
    <t>L = 1.2 μH/m = 1.2 × 10⁻⁶ H/m</t>
  </si>
  <si>
    <t>c=veciluz</t>
  </si>
  <si>
    <t>f=</t>
  </si>
  <si>
    <t>Mhz</t>
  </si>
  <si>
    <t>Hz</t>
  </si>
  <si>
    <t>Rad</t>
  </si>
  <si>
    <t>W=</t>
  </si>
  <si>
    <t>uF/m</t>
  </si>
  <si>
    <t>pF/m</t>
  </si>
  <si>
    <r>
      <t>y=</t>
    </r>
    <r>
      <rPr>
        <sz val="11"/>
        <color theme="1"/>
        <rFont val="Aptos Narrow"/>
        <family val="2"/>
      </rPr>
      <t>ϐ</t>
    </r>
  </si>
  <si>
    <t>1/m</t>
  </si>
  <si>
    <t>v</t>
  </si>
  <si>
    <t>m/s</t>
  </si>
  <si>
    <t>Zo=</t>
  </si>
  <si>
    <t>wL=</t>
  </si>
  <si>
    <t>α =</t>
  </si>
  <si>
    <t>Z''=</t>
  </si>
  <si>
    <t>Z'=</t>
  </si>
  <si>
    <t xml:space="preserve">Vf = </t>
  </si>
  <si>
    <t>WC=</t>
  </si>
  <si>
    <t>Z=</t>
  </si>
  <si>
    <t>Y=</t>
  </si>
  <si>
    <r>
      <t>y=</t>
    </r>
    <r>
      <rPr>
        <sz val="11"/>
        <color theme="1"/>
        <rFont val="Aptos Narrow"/>
        <family val="2"/>
      </rPr>
      <t>ϐ</t>
    </r>
    <r>
      <rPr>
        <sz val="11"/>
        <color theme="1"/>
        <rFont val="Calibri"/>
        <family val="2"/>
        <scheme val="minor"/>
      </rPr>
      <t>-1</t>
    </r>
    <r>
      <rPr>
        <sz val="11"/>
        <color theme="1"/>
        <rFont val="Aptos Narrow"/>
        <family val="2"/>
      </rPr>
      <t>α</t>
    </r>
  </si>
  <si>
    <t>Z/Y =</t>
  </si>
  <si>
    <t>A)</t>
  </si>
  <si>
    <t>B)</t>
  </si>
  <si>
    <t>C)</t>
  </si>
  <si>
    <t>Z'0</t>
  </si>
  <si>
    <t>Zo MOD</t>
  </si>
  <si>
    <t>vo</t>
  </si>
  <si>
    <t>&lt;vi&gt;</t>
  </si>
  <si>
    <t>Usa los datos de 6.1</t>
  </si>
  <si>
    <t>MOD Zo</t>
  </si>
  <si>
    <t>iwl</t>
  </si>
  <si>
    <t>iwc</t>
  </si>
  <si>
    <t>α (neper/m)</t>
  </si>
  <si>
    <t>α (dB/m)</t>
  </si>
  <si>
    <t>ln(b/a)</t>
  </si>
  <si>
    <t>ε0</t>
  </si>
  <si>
    <r>
      <t>μ</t>
    </r>
    <r>
      <rPr>
        <vertAlign val="subscript"/>
        <sz val="11"/>
        <color theme="1"/>
        <rFont val="Calibri"/>
        <family val="2"/>
        <scheme val="minor"/>
      </rPr>
      <t>0</t>
    </r>
  </si>
  <si>
    <t>εr</t>
  </si>
  <si>
    <t>η0</t>
  </si>
  <si>
    <t>α (dB)</t>
  </si>
  <si>
    <t>b1</t>
  </si>
  <si>
    <t>b2</t>
  </si>
  <si>
    <t>a1</t>
  </si>
  <si>
    <t>a2</t>
  </si>
  <si>
    <t>Aircell</t>
  </si>
  <si>
    <t>RG223</t>
  </si>
  <si>
    <t xml:space="preserve">Z= </t>
  </si>
  <si>
    <t>SOL</t>
  </si>
  <si>
    <t xml:space="preserve">SOL </t>
  </si>
  <si>
    <t>A) constante de propagacion</t>
  </si>
  <si>
    <t>Z =</t>
  </si>
  <si>
    <t>B) Constante de atenuacion</t>
  </si>
  <si>
    <t>C) Velocidad de Fase</t>
  </si>
  <si>
    <t>vf =</t>
  </si>
  <si>
    <t>D) Impedancia Caracteristica</t>
  </si>
  <si>
    <t xml:space="preserve">Zo = </t>
  </si>
  <si>
    <t xml:space="preserve">α = </t>
  </si>
  <si>
    <t>3.5+2.111150263</t>
  </si>
  <si>
    <t xml:space="preserve">Pregunta3 </t>
  </si>
  <si>
    <t>Datos:</t>
  </si>
  <si>
    <t>V+=</t>
  </si>
  <si>
    <t>f =</t>
  </si>
  <si>
    <t>hz</t>
  </si>
  <si>
    <t>Z0=</t>
  </si>
  <si>
    <t>Ω</t>
  </si>
  <si>
    <t>velocidad fase</t>
  </si>
  <si>
    <t>ZL</t>
  </si>
  <si>
    <t>Coeficiente de reflexion:</t>
  </si>
  <si>
    <t>PL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</si>
</sst>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ptos Narrow"/>
      <family val="2"/>
    </font>
    <font>
      <vertAlign val="subscript"/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vertical="center"/>
    </xf>
    <xf numFmtId="2" fontId="1" fillId="0" borderId="0" xfId="0" applyNumberFormat="1" applyFont="1"/>
    <xf numFmtId="0" fontId="0" fillId="4" borderId="0" xfId="0" applyFill="1"/>
    <xf numFmtId="0" fontId="0" fillId="4" borderId="0" xfId="0" applyFill="1" applyAlignment="1">
      <alignment horizontal="center" vertical="center"/>
    </xf>
    <xf numFmtId="0" fontId="0" fillId="5" borderId="0" xfId="0" applyFill="1"/>
    <xf numFmtId="0" fontId="0" fillId="5" borderId="0" xfId="0" applyFill="1" applyAlignment="1">
      <alignment horizontal="center" vertical="center"/>
    </xf>
    <xf numFmtId="0" fontId="2" fillId="0" borderId="0" xfId="0" applyFont="1"/>
    <xf numFmtId="0" fontId="0" fillId="2" borderId="0" xfId="0" applyFill="1" applyAlignment="1">
      <alignment horizontal="center" vertical="center"/>
    </xf>
    <xf numFmtId="1" fontId="0" fillId="0" borderId="0" xfId="0" applyNumberFormat="1"/>
    <xf numFmtId="0" fontId="0" fillId="0" borderId="0" xfId="0" applyAlignment="1">
      <alignment vertical="center" wrapText="1"/>
    </xf>
    <xf numFmtId="11" fontId="0" fillId="0" borderId="0" xfId="0" applyNumberFormat="1"/>
    <xf numFmtId="0" fontId="0" fillId="2" borderId="0" xfId="0" applyFill="1" applyAlignment="1">
      <alignment vertical="center" wrapText="1"/>
    </xf>
    <xf numFmtId="0" fontId="2" fillId="2" borderId="0" xfId="0" applyFont="1" applyFill="1"/>
    <xf numFmtId="0" fontId="4" fillId="0" borderId="0" xfId="0" applyFon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Línea ideal (a)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Hoja1!$H$42:$H$52</c:f>
              <c:numCache>
                <c:formatCode>General</c:formatCode>
                <c:ptCount val="11"/>
                <c:pt idx="0">
                  <c:v>100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</c:numCache>
            </c:numRef>
          </c:xVal>
          <c:yVal>
            <c:numRef>
              <c:f>Hoja1!$I$42:$I$52</c:f>
              <c:numCache>
                <c:formatCode>General</c:formatCode>
                <c:ptCount val="11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1D-491D-9D46-5A16984E325A}"/>
            </c:ext>
          </c:extLst>
        </c:ser>
        <c:ser>
          <c:idx val="1"/>
          <c:order val="1"/>
          <c:tx>
            <c:v>Línea con bajas pérdidas (b)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Hoja1!$H$56:$H$66</c:f>
              <c:numCache>
                <c:formatCode>General</c:formatCode>
                <c:ptCount val="11"/>
                <c:pt idx="0">
                  <c:v>100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</c:numCache>
            </c:numRef>
          </c:xVal>
          <c:yVal>
            <c:numRef>
              <c:f>Hoja1!$J$56:$J$66</c:f>
              <c:numCache>
                <c:formatCode>General</c:formatCode>
                <c:ptCount val="11"/>
                <c:pt idx="0">
                  <c:v>2303.3270640606179</c:v>
                </c:pt>
                <c:pt idx="1">
                  <c:v>336.73835765988184</c:v>
                </c:pt>
                <c:pt idx="2">
                  <c:v>257.76255181943736</c:v>
                </c:pt>
                <c:pt idx="3">
                  <c:v>231.07059838772705</c:v>
                </c:pt>
                <c:pt idx="4">
                  <c:v>219.07997291525339</c:v>
                </c:pt>
                <c:pt idx="5">
                  <c:v>212.79196248295884</c:v>
                </c:pt>
                <c:pt idx="6">
                  <c:v>209.12831241019967</c:v>
                </c:pt>
                <c:pt idx="7">
                  <c:v>206.82266593224918</c:v>
                </c:pt>
                <c:pt idx="8">
                  <c:v>205.28391531336558</c:v>
                </c:pt>
                <c:pt idx="9">
                  <c:v>204.20861262887865</c:v>
                </c:pt>
                <c:pt idx="10">
                  <c:v>203.42890408662072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1D-491D-9D46-5A16984E325A}"/>
            </c:ext>
          </c:extLst>
        </c:ser>
        <c:ser>
          <c:idx val="2"/>
          <c:order val="2"/>
          <c:tx>
            <c:v>Línea con pérdidas (c)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Hoja1!$M$56:$M$66</c:f>
              <c:numCache>
                <c:formatCode>General</c:formatCode>
                <c:ptCount val="11"/>
                <c:pt idx="0">
                  <c:v>100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</c:numCache>
            </c:numRef>
          </c:xVal>
          <c:yVal>
            <c:numRef>
              <c:f>Hoja1!$O$56:$O$66</c:f>
              <c:numCache>
                <c:formatCode>General</c:formatCode>
                <c:ptCount val="11"/>
                <c:pt idx="0">
                  <c:v>316.20417667324199</c:v>
                </c:pt>
                <c:pt idx="1">
                  <c:v>278.87684211349938</c:v>
                </c:pt>
                <c:pt idx="2">
                  <c:v>242.26718792546475</c:v>
                </c:pt>
                <c:pt idx="3">
                  <c:v>224.36136694975031</c:v>
                </c:pt>
                <c:pt idx="4">
                  <c:v>215.38726160759202</c:v>
                </c:pt>
                <c:pt idx="5">
                  <c:v>210.46159638998887</c:v>
                </c:pt>
                <c:pt idx="6">
                  <c:v>207.5245732224077</c:v>
                </c:pt>
                <c:pt idx="7">
                  <c:v>205.65148139958342</c:v>
                </c:pt>
                <c:pt idx="8">
                  <c:v>204.39095039796382</c:v>
                </c:pt>
                <c:pt idx="9">
                  <c:v>203.50515658354888</c:v>
                </c:pt>
                <c:pt idx="10">
                  <c:v>202.86035288718685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31D-491D-9D46-5A16984E3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99784"/>
        <c:axId val="623801584"/>
      </c:scatterChart>
      <c:valAx>
        <c:axId val="623799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/>
                  <a:t>Frecuencia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623801584"/>
        <c:crosses val="autoZero"/>
        <c:crossBetween val="midCat"/>
      </c:valAx>
      <c:valAx>
        <c:axId val="62380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/>
                  <a:t>Módulo de Zo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623799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Grafica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'Hoja1 (2)'!$K$13</c:f>
              <c:strCache>
                <c:ptCount val="1"/>
                <c:pt idx="0">
                  <c:v>Zo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'Hoja1 (2)'!$I$14:$I$22</c:f>
              <c:numCache>
                <c:formatCode>General</c:formatCode>
                <c:ptCount val="9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20</c:v>
                </c:pt>
                <c:pt idx="5">
                  <c:v>30</c:v>
                </c:pt>
                <c:pt idx="6">
                  <c:v>40</c:v>
                </c:pt>
                <c:pt idx="7">
                  <c:v>50</c:v>
                </c:pt>
                <c:pt idx="8">
                  <c:v>60</c:v>
                </c:pt>
              </c:numCache>
            </c:numRef>
          </c:xVal>
          <c:yVal>
            <c:numRef>
              <c:f>'Hoja1 (2)'!$K$14:$K$22</c:f>
              <c:numCache>
                <c:formatCode>General</c:formatCode>
                <c:ptCount val="9"/>
                <c:pt idx="0">
                  <c:v>316.22800000000001</c:v>
                </c:pt>
                <c:pt idx="1">
                  <c:v>316.20400000000001</c:v>
                </c:pt>
                <c:pt idx="2">
                  <c:v>313.92399999999998</c:v>
                </c:pt>
                <c:pt idx="3" formatCode="0.00">
                  <c:v>242.267</c:v>
                </c:pt>
                <c:pt idx="4" formatCode="0.00">
                  <c:v>215.387</c:v>
                </c:pt>
                <c:pt idx="5" formatCode="0.00">
                  <c:v>207.52500000000001</c:v>
                </c:pt>
                <c:pt idx="6" formatCode="0.00">
                  <c:v>204.39099999999999</c:v>
                </c:pt>
                <c:pt idx="7" formatCode="0.00">
                  <c:v>202.86</c:v>
                </c:pt>
                <c:pt idx="8" formatCode="0.00">
                  <c:v>202.006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81-454B-88C7-27E15431B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728319"/>
        <c:axId val="725729279"/>
      </c:scatterChart>
      <c:valAx>
        <c:axId val="725728319"/>
        <c:scaling>
          <c:orientation val="minMax"/>
          <c:max val="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/>
                  <a:t>f(khz)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725729279"/>
        <c:crosses val="autoZero"/>
        <c:crossBetween val="midCat"/>
      </c:valAx>
      <c:valAx>
        <c:axId val="725729279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/>
                  <a:t>Zo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725728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22860</xdr:rowOff>
    </xdr:from>
    <xdr:to>
      <xdr:col>5</xdr:col>
      <xdr:colOff>267067</xdr:colOff>
      <xdr:row>14</xdr:row>
      <xdr:rowOff>23066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9CC03A9-CE3C-753C-6565-827660850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740"/>
          <a:ext cx="4229467" cy="2377646"/>
        </a:xfrm>
        <a:prstGeom prst="rect">
          <a:avLst/>
        </a:prstGeom>
      </xdr:spPr>
    </xdr:pic>
    <xdr:clientData/>
  </xdr:twoCellAnchor>
  <xdr:twoCellAnchor editAs="oneCell">
    <xdr:from>
      <xdr:col>0</xdr:col>
      <xdr:colOff>182880</xdr:colOff>
      <xdr:row>17</xdr:row>
      <xdr:rowOff>175260</xdr:rowOff>
    </xdr:from>
    <xdr:to>
      <xdr:col>5</xdr:col>
      <xdr:colOff>436552</xdr:colOff>
      <xdr:row>23</xdr:row>
      <xdr:rowOff>99060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30D7087-190E-586A-D5DB-F3493BF8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" y="3284220"/>
          <a:ext cx="4216072" cy="1021080"/>
        </a:xfrm>
        <a:prstGeom prst="rect">
          <a:avLst/>
        </a:prstGeom>
      </xdr:spPr>
    </xdr:pic>
    <xdr:clientData/>
  </xdr:twoCellAnchor>
  <xdr:twoCellAnchor editAs="oneCell">
    <xdr:from>
      <xdr:col>13</xdr:col>
      <xdr:colOff>83820</xdr:colOff>
      <xdr:row>7</xdr:row>
      <xdr:rowOff>60960</xdr:rowOff>
    </xdr:from>
    <xdr:to>
      <xdr:col>14</xdr:col>
      <xdr:colOff>693420</xdr:colOff>
      <xdr:row>9</xdr:row>
      <xdr:rowOff>114870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22A9A9E-88B6-E59A-12EB-B2E9C6F6D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341120"/>
          <a:ext cx="1402080" cy="419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68580</xdr:colOff>
      <xdr:row>13</xdr:row>
      <xdr:rowOff>60960</xdr:rowOff>
    </xdr:from>
    <xdr:to>
      <xdr:col>14</xdr:col>
      <xdr:colOff>716280</xdr:colOff>
      <xdr:row>15</xdr:row>
      <xdr:rowOff>68747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3D305B-199C-E0F2-3E9B-9468ABC18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7080" y="2438400"/>
          <a:ext cx="1440180" cy="373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53340</xdr:colOff>
      <xdr:row>19</xdr:row>
      <xdr:rowOff>45720</xdr:rowOff>
    </xdr:from>
    <xdr:to>
      <xdr:col>14</xdr:col>
      <xdr:colOff>502920</xdr:colOff>
      <xdr:row>21</xdr:row>
      <xdr:rowOff>125699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F3A63C9-448C-0E99-0B53-59CFD6B83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1840" y="3520440"/>
          <a:ext cx="1242060" cy="4457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160020</xdr:colOff>
      <xdr:row>25</xdr:row>
      <xdr:rowOff>91440</xdr:rowOff>
    </xdr:from>
    <xdr:to>
      <xdr:col>14</xdr:col>
      <xdr:colOff>754380</xdr:colOff>
      <xdr:row>28</xdr:row>
      <xdr:rowOff>29502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1822CC5-1701-5D9B-AFE1-E10C5A871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8520" y="4663440"/>
          <a:ext cx="1386840" cy="4867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163287</xdr:colOff>
      <xdr:row>5</xdr:row>
      <xdr:rowOff>119743</xdr:rowOff>
    </xdr:from>
    <xdr:to>
      <xdr:col>3</xdr:col>
      <xdr:colOff>459592</xdr:colOff>
      <xdr:row>13</xdr:row>
      <xdr:rowOff>125094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287" y="1045029"/>
          <a:ext cx="2680276" cy="1485808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277389</xdr:colOff>
      <xdr:row>38</xdr:row>
      <xdr:rowOff>178905</xdr:rowOff>
    </xdr:from>
    <xdr:to>
      <xdr:col>5</xdr:col>
      <xdr:colOff>460630</xdr:colOff>
      <xdr:row>49</xdr:row>
      <xdr:rowOff>103677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9CF449E-64F6-974A-6980-E1763C576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7389" y="7211076"/>
          <a:ext cx="4189184" cy="1960401"/>
        </a:xfrm>
        <a:prstGeom prst="rect">
          <a:avLst/>
        </a:prstGeom>
      </xdr:spPr>
    </xdr:pic>
    <xdr:clientData/>
  </xdr:twoCellAnchor>
  <xdr:twoCellAnchor>
    <xdr:from>
      <xdr:col>9</xdr:col>
      <xdr:colOff>486543</xdr:colOff>
      <xdr:row>33</xdr:row>
      <xdr:rowOff>106015</xdr:rowOff>
    </xdr:from>
    <xdr:to>
      <xdr:col>15</xdr:col>
      <xdr:colOff>645097</xdr:colOff>
      <xdr:row>52</xdr:row>
      <xdr:rowOff>181744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6DA1743-3360-813C-E318-B372A65B0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87925</xdr:colOff>
      <xdr:row>2</xdr:row>
      <xdr:rowOff>175443</xdr:rowOff>
    </xdr:from>
    <xdr:to>
      <xdr:col>21</xdr:col>
      <xdr:colOff>129201</xdr:colOff>
      <xdr:row>4</xdr:row>
      <xdr:rowOff>181706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9E3E750-2AE0-B0B7-6911-09107EBFC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36063" y="538858"/>
          <a:ext cx="3997815" cy="369679"/>
        </a:xfrm>
        <a:prstGeom prst="rect">
          <a:avLst/>
        </a:prstGeom>
      </xdr:spPr>
    </xdr:pic>
    <xdr:clientData/>
  </xdr:twoCellAnchor>
  <xdr:twoCellAnchor editAs="oneCell">
    <xdr:from>
      <xdr:col>19</xdr:col>
      <xdr:colOff>679938</xdr:colOff>
      <xdr:row>8</xdr:row>
      <xdr:rowOff>87923</xdr:rowOff>
    </xdr:from>
    <xdr:to>
      <xdr:col>21</xdr:col>
      <xdr:colOff>450062</xdr:colOff>
      <xdr:row>12</xdr:row>
      <xdr:rowOff>180357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1CD0DD6-79BD-FDCB-21A0-C9AC8FD1B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002000" y="1541585"/>
          <a:ext cx="1352739" cy="8192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214312</xdr:colOff>
      <xdr:row>6</xdr:row>
      <xdr:rowOff>114300</xdr:rowOff>
    </xdr:from>
    <xdr:ext cx="4049507" cy="5456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F9B0992-20B3-4311-AFAE-B1433FDF723C}"/>
                </a:ext>
              </a:extLst>
            </xdr:cNvPr>
            <xdr:cNvSpPr txBox="1"/>
          </xdr:nvSpPr>
          <xdr:spPr>
            <a:xfrm>
              <a:off x="214312" y="1211580"/>
              <a:ext cx="4049507" cy="5456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200" b="0" i="1">
                            <a:latin typeface="Cambria Math" panose="02040503050406030204" pitchFamily="18" charset="0"/>
                          </a:rPr>
                          <m:t>𝑍</m:t>
                        </m:r>
                      </m:e>
                      <m:sub>
                        <m:r>
                          <a:rPr lang="es-PE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PE" sz="1200" b="0" i="1">
                        <a:latin typeface="Cambria Math" panose="02040503050406030204" pitchFamily="18" charset="0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s-PE" sz="12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s-PE" sz="12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s-PE" sz="1200" b="0" i="1">
                                <a:latin typeface="Cambria Math" panose="02040503050406030204" pitchFamily="18" charset="0"/>
                              </a:rPr>
                              <m:t>1.2∗10^−6</m:t>
                            </m:r>
                          </m:num>
                          <m:den>
                            <m:r>
                              <a:rPr lang="es-PE" sz="1200" b="0" i="1">
                                <a:latin typeface="Cambria Math" panose="02040503050406030204" pitchFamily="18" charset="0"/>
                              </a:rPr>
                              <m:t>30∗10^−12</m:t>
                            </m:r>
                          </m:den>
                        </m:f>
                      </m:e>
                    </m:rad>
                    <m:r>
                      <a:rPr lang="es-PE" sz="1200" b="0" i="1">
                        <a:latin typeface="Cambria Math" panose="02040503050406030204" pitchFamily="18" charset="0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s-PE" sz="12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s-PE" sz="12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s-PE" sz="1200" b="0" i="1">
                                <a:latin typeface="Cambria Math" panose="02040503050406030204" pitchFamily="18" charset="0"/>
                              </a:rPr>
                              <m:t>1.2</m:t>
                            </m:r>
                          </m:num>
                          <m:den>
                            <m:r>
                              <a:rPr lang="es-PE" sz="1200" b="0" i="1">
                                <a:latin typeface="Cambria Math" panose="02040503050406030204" pitchFamily="18" charset="0"/>
                              </a:rPr>
                              <m:t>30</m:t>
                            </m:r>
                          </m:den>
                        </m:f>
                        <m:r>
                          <a:rPr lang="es-PE" sz="1200" b="0" i="1">
                            <a:latin typeface="Cambria Math" panose="02040503050406030204" pitchFamily="18" charset="0"/>
                          </a:rPr>
                          <m:t>∗10^−6</m:t>
                        </m:r>
                      </m:e>
                    </m:rad>
                    <m:r>
                      <a:rPr lang="es-PE" sz="1200" b="0" i="1">
                        <a:latin typeface="Cambria Math" panose="02040503050406030204" pitchFamily="18" charset="0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s-PE" sz="12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es-PE" sz="1200" b="0" i="1">
                            <a:latin typeface="Cambria Math" panose="02040503050406030204" pitchFamily="18" charset="0"/>
                          </a:rPr>
                          <m:t>4∗10^4</m:t>
                        </m:r>
                      </m:e>
                    </m:rad>
                    <m:r>
                      <a:rPr lang="es-PE" sz="1200" b="0" i="1">
                        <a:latin typeface="Cambria Math" panose="02040503050406030204" pitchFamily="18" charset="0"/>
                      </a:rPr>
                      <m:t>=200</m:t>
                    </m:r>
                    <m:r>
                      <a:rPr lang="el-GR" sz="1200" b="0" i="1">
                        <a:latin typeface="Cambria Math" panose="02040503050406030204" pitchFamily="18" charset="0"/>
                      </a:rPr>
                      <m:t>𝛺</m:t>
                    </m:r>
                  </m:oMath>
                </m:oMathPara>
              </a14:m>
              <a:endParaRPr lang="es-PE" sz="1400"/>
            </a:p>
          </xdr:txBody>
        </xdr:sp>
      </mc:Choice>
      <mc:Fallback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F9B0992-20B3-4311-AFAE-B1433FDF723C}"/>
                </a:ext>
              </a:extLst>
            </xdr:cNvPr>
            <xdr:cNvSpPr txBox="1"/>
          </xdr:nvSpPr>
          <xdr:spPr>
            <a:xfrm>
              <a:off x="214312" y="1211580"/>
              <a:ext cx="4049507" cy="5456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200" b="0" i="0">
                  <a:latin typeface="Cambria Math" panose="02040503050406030204" pitchFamily="18" charset="0"/>
                </a:rPr>
                <a:t>𝑍_0=√((1.2∗10^−6)/(30∗10^−12))=√(1.2/30∗10^−6)=√(4∗10^4)=200</a:t>
              </a:r>
              <a:r>
                <a:rPr lang="el-GR" sz="1200" b="0" i="0">
                  <a:latin typeface="Cambria Math" panose="02040503050406030204" pitchFamily="18" charset="0"/>
                </a:rPr>
                <a:t>𝛺</a:t>
              </a:r>
              <a:endParaRPr lang="es-PE" sz="1400"/>
            </a:p>
          </xdr:txBody>
        </xdr:sp>
      </mc:Fallback>
    </mc:AlternateContent>
    <xdr:clientData/>
  </xdr:oneCellAnchor>
  <xdr:oneCellAnchor>
    <xdr:from>
      <xdr:col>0</xdr:col>
      <xdr:colOff>142874</xdr:colOff>
      <xdr:row>9</xdr:row>
      <xdr:rowOff>166686</xdr:rowOff>
    </xdr:from>
    <xdr:ext cx="6867525" cy="38145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CCBEEE45-CFEB-4C9E-935E-B1460AC4C506}"/>
                </a:ext>
              </a:extLst>
            </xdr:cNvPr>
            <xdr:cNvSpPr txBox="1"/>
          </xdr:nvSpPr>
          <xdr:spPr>
            <a:xfrm>
              <a:off x="142874" y="1812606"/>
              <a:ext cx="6867525" cy="3814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2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PE" sz="1200" b="0" i="1">
                            <a:latin typeface="Cambria Math" panose="02040503050406030204" pitchFamily="18" charset="0"/>
                          </a:rPr>
                          <m:t>𝑓</m:t>
                        </m:r>
                      </m:sub>
                    </m:sSub>
                    <m:r>
                      <a:rPr lang="es-PE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PE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PE" sz="12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es-PE" sz="12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s-PE" sz="12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  <m:r>
                              <a:rPr lang="es-PE" sz="12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r>
                              <a:rPr lang="es-PE" sz="12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</m:rad>
                      </m:den>
                    </m:f>
                    <m:r>
                      <a:rPr lang="es-PE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PE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PE" sz="12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es-PE" sz="12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s-PE" sz="1200" b="0" i="1">
                                <a:latin typeface="Cambria Math" panose="02040503050406030204" pitchFamily="18" charset="0"/>
                              </a:rPr>
                              <m:t>1.2∗</m:t>
                            </m:r>
                            <m:sSup>
                              <m:sSupPr>
                                <m:ctrlPr>
                                  <a:rPr lang="es-PE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PE" sz="1200" b="0" i="1">
                                    <a:latin typeface="Cambria Math" panose="02040503050406030204" pitchFamily="18" charset="0"/>
                                  </a:rPr>
                                  <m:t>10</m:t>
                                </m:r>
                              </m:e>
                              <m:sup>
                                <m:r>
                                  <a:rPr lang="es-PE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−6</m:t>
                                </m:r>
                              </m:sup>
                            </m:sSup>
                            <m:r>
                              <a:rPr lang="es-PE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∗30∗</m:t>
                            </m:r>
                            <m:sSup>
                              <m:sSupPr>
                                <m:ctrlPr>
                                  <a:rPr lang="es-PE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PE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10</m:t>
                                </m:r>
                              </m:e>
                              <m:sup>
                                <m:r>
                                  <a:rPr lang="es-PE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−12</m:t>
                                </m:r>
                              </m:sup>
                            </m:sSup>
                          </m:e>
                        </m:rad>
                      </m:den>
                    </m:f>
                    <m:r>
                      <a:rPr lang="es-PE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PE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PE" sz="12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es-PE" sz="12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s-PE" sz="1200" b="0" i="1">
                                <a:latin typeface="Cambria Math" panose="02040503050406030204" pitchFamily="18" charset="0"/>
                              </a:rPr>
                              <m:t>3.6∗</m:t>
                            </m:r>
                            <m:sSup>
                              <m:sSupPr>
                                <m:ctrlPr>
                                  <a:rPr lang="es-PE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PE" sz="1200" b="0" i="1">
                                    <a:latin typeface="Cambria Math" panose="02040503050406030204" pitchFamily="18" charset="0"/>
                                  </a:rPr>
                                  <m:t>10</m:t>
                                </m:r>
                              </m:e>
                              <m:sup>
                                <m:r>
                                  <a:rPr lang="es-PE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−17</m:t>
                                </m:r>
                              </m:sup>
                            </m:sSup>
                          </m:e>
                        </m:rad>
                      </m:den>
                    </m:f>
                    <m:r>
                      <a:rPr lang="es-PE" sz="1200" b="0" i="1">
                        <a:latin typeface="Cambria Math" panose="02040503050406030204" pitchFamily="18" charset="0"/>
                      </a:rPr>
                      <m:t>=1.67∗</m:t>
                    </m:r>
                    <m:sSup>
                      <m:sSupPr>
                        <m:ctrlPr>
                          <a:rPr lang="es-P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PE" sz="12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P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8</m:t>
                        </m:r>
                      </m:sup>
                    </m:sSup>
                    <m:r>
                      <a:rPr lang="es-PE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=0.55</m:t>
                    </m:r>
                    <m:r>
                      <a:rPr lang="es-PE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𝑐</m:t>
                    </m:r>
                  </m:oMath>
                </m:oMathPara>
              </a14:m>
              <a:endParaRPr lang="es-PE" sz="1400"/>
            </a:p>
          </xdr:txBody>
        </xdr:sp>
      </mc:Choice>
      <mc:Fallback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CCBEEE45-CFEB-4C9E-935E-B1460AC4C506}"/>
                </a:ext>
              </a:extLst>
            </xdr:cNvPr>
            <xdr:cNvSpPr txBox="1"/>
          </xdr:nvSpPr>
          <xdr:spPr>
            <a:xfrm>
              <a:off x="142874" y="1812606"/>
              <a:ext cx="6867525" cy="3814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200" b="0" i="0">
                  <a:latin typeface="Cambria Math" panose="02040503050406030204" pitchFamily="18" charset="0"/>
                </a:rPr>
                <a:t>𝑉_𝑓=1/√(𝐿∗𝐶)=1/√(1.2∗10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^(−6)∗30∗10^(−12) )</a:t>
              </a:r>
              <a:r>
                <a:rPr lang="es-PE" sz="1200" b="0" i="0">
                  <a:latin typeface="Cambria Math" panose="02040503050406030204" pitchFamily="18" charset="0"/>
                </a:rPr>
                <a:t>=1/√(3.6∗10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^(−17) )</a:t>
              </a:r>
              <a:r>
                <a:rPr lang="es-PE" sz="1200" b="0" i="0">
                  <a:latin typeface="Cambria Math" panose="02040503050406030204" pitchFamily="18" charset="0"/>
                </a:rPr>
                <a:t>=1.67∗10</a:t>
              </a:r>
              <a:r>
                <a:rPr lang="es-P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^8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=0.55𝑐</a:t>
              </a:r>
              <a:endParaRPr lang="es-PE" sz="1400"/>
            </a:p>
          </xdr:txBody>
        </xdr:sp>
      </mc:Fallback>
    </mc:AlternateContent>
    <xdr:clientData/>
  </xdr:oneCellAnchor>
  <xdr:oneCellAnchor>
    <xdr:from>
      <xdr:col>0</xdr:col>
      <xdr:colOff>691673</xdr:colOff>
      <xdr:row>15</xdr:row>
      <xdr:rowOff>2729</xdr:rowOff>
    </xdr:from>
    <xdr:ext cx="3042128" cy="17722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81868B7-EC26-414F-B5F5-96D20439899F}"/>
                </a:ext>
              </a:extLst>
            </xdr:cNvPr>
            <xdr:cNvSpPr txBox="1"/>
          </xdr:nvSpPr>
          <xdr:spPr>
            <a:xfrm>
              <a:off x="691673" y="2745929"/>
              <a:ext cx="3042128" cy="1772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s-PE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=2</m:t>
                    </m:r>
                    <m:r>
                      <a:rPr lang="es-PE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𝜋</m:t>
                    </m:r>
                    <m:r>
                      <a:rPr lang="es-PE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𝑓</m:t>
                    </m:r>
                    <m:r>
                      <a:rPr lang="es-PE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PE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𝜋</m:t>
                    </m:r>
                    <m:r>
                      <a:rPr lang="es-PE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∗2∗50∗</m:t>
                    </m:r>
                    <m:sSup>
                      <m:sSupPr>
                        <m:ctrlPr>
                          <a:rPr lang="es-P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PE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P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6</m:t>
                        </m:r>
                      </m:sup>
                    </m:sSup>
                    <m:r>
                      <a:rPr lang="es-P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P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𝜋</m:t>
                    </m:r>
                    <m:r>
                      <a:rPr lang="es-P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sSup>
                      <m:sSupPr>
                        <m:ctrlPr>
                          <a:rPr lang="es-P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P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10</m:t>
                        </m:r>
                      </m:e>
                      <m:sup>
                        <m:r>
                          <a:rPr lang="es-P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8</m:t>
                        </m:r>
                      </m:sup>
                    </m:sSup>
                    <m:r>
                      <a:rPr lang="es-P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𝑟𝑎𝑑</m:t>
                    </m:r>
                  </m:oMath>
                </m:oMathPara>
              </a14:m>
              <a:endParaRPr lang="es-PE" sz="1400"/>
            </a:p>
          </xdr:txBody>
        </xdr:sp>
      </mc:Choice>
      <mc:Fallback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81868B7-EC26-414F-B5F5-96D20439899F}"/>
                </a:ext>
              </a:extLst>
            </xdr:cNvPr>
            <xdr:cNvSpPr txBox="1"/>
          </xdr:nvSpPr>
          <xdr:spPr>
            <a:xfrm>
              <a:off x="691673" y="2745929"/>
              <a:ext cx="3042128" cy="1772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𝜔</a:t>
              </a:r>
              <a:r>
                <a:rPr lang="es-PE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=2𝜋𝑓=𝜋∗2∗50∗10</a:t>
              </a:r>
              <a:r>
                <a:rPr lang="es-P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^6=</a:t>
              </a:r>
              <a:r>
                <a:rPr lang="es-P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𝜋</a:t>
              </a:r>
              <a:r>
                <a:rPr lang="es-P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∗10^8 𝑟𝑎𝑑</a:t>
              </a:r>
              <a:endParaRPr lang="es-PE" sz="1400"/>
            </a:p>
          </xdr:txBody>
        </xdr:sp>
      </mc:Fallback>
    </mc:AlternateContent>
    <xdr:clientData/>
  </xdr:oneCellAnchor>
  <xdr:oneCellAnchor>
    <xdr:from>
      <xdr:col>0</xdr:col>
      <xdr:colOff>228600</xdr:colOff>
      <xdr:row>12</xdr:row>
      <xdr:rowOff>61912</xdr:rowOff>
    </xdr:from>
    <xdr:ext cx="4433330" cy="23948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3369F6D-AE34-45C6-ADFD-24BF0B2D274C}"/>
                </a:ext>
              </a:extLst>
            </xdr:cNvPr>
            <xdr:cNvSpPr txBox="1"/>
          </xdr:nvSpPr>
          <xdr:spPr>
            <a:xfrm>
              <a:off x="228600" y="2256472"/>
              <a:ext cx="4433330" cy="2394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2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𝛽</m:t>
                    </m:r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ad>
                      <m:radPr>
                        <m:degHide m:val="on"/>
                        <m:ctrlPr>
                          <a:rPr lang="es-PE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es-PE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𝐿𝐶</m:t>
                        </m:r>
                      </m:e>
                    </m:rad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P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𝜋</m:t>
                    </m:r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∗</m:t>
                    </m:r>
                    <m:sSup>
                      <m:sSupPr>
                        <m:ctrlP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PE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PE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8</m:t>
                        </m:r>
                      </m:sup>
                    </m:sSup>
                    <m:r>
                      <a:rPr lang="es-PE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ad>
                      <m:radPr>
                        <m:degHide m:val="on"/>
                        <m:ctrlP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1.2∗</m:t>
                        </m:r>
                        <m:sSup>
                          <m:sSupPr>
                            <m:ctrlPr>
                              <a:rPr lang="es-PE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PE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10</m:t>
                            </m:r>
                          </m:e>
                          <m:sup>
                            <m:r>
                              <a:rPr lang="es-PE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−6</m:t>
                            </m:r>
                          </m:sup>
                        </m:sSup>
                        <m: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∗30∗</m:t>
                        </m:r>
                        <m:sSup>
                          <m:sSupPr>
                            <m:ctrlPr>
                              <a:rPr lang="es-PE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PE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10</m:t>
                            </m:r>
                          </m:e>
                          <m:sup>
                            <m:r>
                              <a:rPr lang="es-PE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−12</m:t>
                            </m:r>
                          </m:sup>
                        </m:sSup>
                      </m:e>
                    </m:rad>
                    <m:r>
                      <a:rPr lang="es-PE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=1.885(</m:t>
                    </m:r>
                    <m:sSup>
                      <m:sSupPr>
                        <m:ctrlP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𝑚</m:t>
                        </m:r>
                      </m:e>
                      <m:sup>
                        <m: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r>
                      <a:rPr lang="es-PE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es-PE" sz="1200"/>
            </a:p>
          </xdr:txBody>
        </xdr:sp>
      </mc:Choice>
      <mc:Fallback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3369F6D-AE34-45C6-ADFD-24BF0B2D274C}"/>
                </a:ext>
              </a:extLst>
            </xdr:cNvPr>
            <xdr:cNvSpPr txBox="1"/>
          </xdr:nvSpPr>
          <xdr:spPr>
            <a:xfrm>
              <a:off x="228600" y="2256472"/>
              <a:ext cx="4433330" cy="2394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r>
                <a:rPr lang="es-PE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=𝛽=𝜔√𝐿𝐶=</a:t>
              </a:r>
              <a:r>
                <a:rPr lang="es-P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𝜋</a:t>
              </a:r>
              <a:r>
                <a:rPr lang="es-PE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∗10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es-PE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8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∗√(1.2∗10^(−6)∗30∗10^(−12) )=1.885(𝑚^(−1))</a:t>
              </a:r>
              <a:endParaRPr lang="es-PE" sz="1200"/>
            </a:p>
          </xdr:txBody>
        </xdr:sp>
      </mc:Fallback>
    </mc:AlternateContent>
    <xdr:clientData/>
  </xdr:oneCellAnchor>
  <xdr:oneCellAnchor>
    <xdr:from>
      <xdr:col>0</xdr:col>
      <xdr:colOff>428625</xdr:colOff>
      <xdr:row>18</xdr:row>
      <xdr:rowOff>114300</xdr:rowOff>
    </xdr:from>
    <xdr:ext cx="1018356" cy="19293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9B22E19E-18AE-4196-94D3-9B3721109F2C}"/>
                </a:ext>
              </a:extLst>
            </xdr:cNvPr>
            <xdr:cNvSpPr txBox="1"/>
          </xdr:nvSpPr>
          <xdr:spPr>
            <a:xfrm>
              <a:off x="428625" y="3406140"/>
              <a:ext cx="1018356" cy="19293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𝛽</m:t>
                    </m:r>
                    <m:r>
                      <a:rPr lang="es-PE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=1.885 </m:t>
                    </m:r>
                    <m:sSup>
                      <m:sSupPr>
                        <m:ctrlP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𝑚</m:t>
                        </m:r>
                      </m:e>
                      <m:sup>
                        <m:r>
                          <a:rPr lang="es-PE" sz="12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</m:oMath>
                </m:oMathPara>
              </a14:m>
              <a:endParaRPr lang="es-PE" sz="1400"/>
            </a:p>
          </xdr:txBody>
        </xdr:sp>
      </mc:Choice>
      <mc:Fallback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9B22E19E-18AE-4196-94D3-9B3721109F2C}"/>
                </a:ext>
              </a:extLst>
            </xdr:cNvPr>
            <xdr:cNvSpPr txBox="1"/>
          </xdr:nvSpPr>
          <xdr:spPr>
            <a:xfrm>
              <a:off x="428625" y="3406140"/>
              <a:ext cx="1018356" cy="19293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=1.885 𝑚^(−1)</a:t>
              </a:r>
              <a:endParaRPr lang="es-PE" sz="1400"/>
            </a:p>
          </xdr:txBody>
        </xdr:sp>
      </mc:Fallback>
    </mc:AlternateContent>
    <xdr:clientData/>
  </xdr:oneCellAnchor>
  <xdr:oneCellAnchor>
    <xdr:from>
      <xdr:col>2</xdr:col>
      <xdr:colOff>533400</xdr:colOff>
      <xdr:row>17</xdr:row>
      <xdr:rowOff>185737</xdr:rowOff>
    </xdr:from>
    <xdr:ext cx="2670859" cy="3506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A4E096FF-24C7-40F9-B4B9-D652421AB82C}"/>
                </a:ext>
              </a:extLst>
            </xdr:cNvPr>
            <xdr:cNvSpPr txBox="1"/>
          </xdr:nvSpPr>
          <xdr:spPr>
            <a:xfrm>
              <a:off x="2118360" y="3294697"/>
              <a:ext cx="2670859" cy="350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2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∝</m:t>
                    </m:r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PE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PE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0.1∗1.885</m:t>
                        </m:r>
                      </m:num>
                      <m:den>
                        <m:r>
                          <a:rPr lang="es-PE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2∗</m:t>
                        </m:r>
                        <m:r>
                          <a:rPr lang="es-P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𝜋</m:t>
                        </m:r>
                        <m:r>
                          <a:rPr lang="es-PE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es-PE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PE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10</m:t>
                            </m:r>
                          </m:e>
                          <m:sup>
                            <m:r>
                              <a:rPr lang="es-PE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8</m:t>
                            </m:r>
                          </m:sup>
                        </m:sSup>
                        <m: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∗1.2∗</m:t>
                        </m:r>
                        <m:sSup>
                          <m:sSupPr>
                            <m:ctrlPr>
                              <a:rPr lang="es-PE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PE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10</m:t>
                            </m:r>
                          </m:e>
                          <m:sup>
                            <m:r>
                              <a:rPr lang="es-PE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−6</m:t>
                            </m:r>
                          </m:sup>
                        </m:sSup>
                      </m:den>
                    </m:f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=2.5∗</m:t>
                    </m:r>
                    <m:sSup>
                      <m:sSupPr>
                        <m:ctrlP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PE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−4</m:t>
                        </m:r>
                      </m:sup>
                    </m:sSup>
                  </m:oMath>
                </m:oMathPara>
              </a14:m>
              <a:endParaRPr lang="es-PE" sz="1200"/>
            </a:p>
          </xdr:txBody>
        </xdr:sp>
      </mc:Choice>
      <mc:Fallback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A4E096FF-24C7-40F9-B4B9-D652421AB82C}"/>
                </a:ext>
              </a:extLst>
            </xdr:cNvPr>
            <xdr:cNvSpPr txBox="1"/>
          </xdr:nvSpPr>
          <xdr:spPr>
            <a:xfrm>
              <a:off x="2118360" y="3294697"/>
              <a:ext cx="2670859" cy="3506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∝</a:t>
              </a:r>
              <a:r>
                <a:rPr lang="es-PE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=(0.1∗1.885)/(2∗</a:t>
              </a:r>
              <a:r>
                <a:rPr lang="es-P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𝜋</a:t>
              </a:r>
              <a:r>
                <a:rPr lang="es-PE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∗10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es-PE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8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∗1.2∗10^(−6) 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PE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=2.5∗10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^(−4)</a:t>
              </a:r>
              <a:endParaRPr lang="es-PE" sz="1200"/>
            </a:p>
          </xdr:txBody>
        </xdr:sp>
      </mc:Fallback>
    </mc:AlternateContent>
    <xdr:clientData/>
  </xdr:oneCellAnchor>
  <xdr:oneCellAnchor>
    <xdr:from>
      <xdr:col>0</xdr:col>
      <xdr:colOff>9525</xdr:colOff>
      <xdr:row>21</xdr:row>
      <xdr:rowOff>19050</xdr:rowOff>
    </xdr:from>
    <xdr:ext cx="2781300" cy="2771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1825401-E5C6-41AE-90F0-43B4DCBC9343}"/>
                </a:ext>
              </a:extLst>
            </xdr:cNvPr>
            <xdr:cNvSpPr txBox="1"/>
          </xdr:nvSpPr>
          <xdr:spPr>
            <a:xfrm>
              <a:off x="9525" y="3859530"/>
              <a:ext cx="2781300" cy="2771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PE" sz="1600" b="0" i="1">
                            <a:latin typeface="Cambria Math" panose="02040503050406030204" pitchFamily="18" charset="0"/>
                          </a:rPr>
                          <m:t>𝑓</m:t>
                        </m:r>
                      </m:sub>
                    </m:sSub>
                    <m:r>
                      <a:rPr lang="es-PE" sz="16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1.67∗</m:t>
                    </m:r>
                    <m:sSup>
                      <m:sSupPr>
                        <m:ctrlPr>
                          <a:rPr lang="es-PE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PE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10</m:t>
                        </m:r>
                      </m:e>
                      <m:sup>
                        <m:r>
                          <a:rPr lang="es-PE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8</m:t>
                        </m:r>
                      </m:sup>
                    </m:sSup>
                    <m:r>
                      <a:rPr lang="es-PE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=0.55</m:t>
                    </m:r>
                    <m:r>
                      <a:rPr lang="es-PE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𝑐</m:t>
                    </m:r>
                  </m:oMath>
                </m:oMathPara>
              </a14:m>
              <a:endParaRPr lang="es-PE" sz="1600"/>
            </a:p>
          </xdr:txBody>
        </xdr:sp>
      </mc:Choice>
      <mc:Fallback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1825401-E5C6-41AE-90F0-43B4DCBC9343}"/>
                </a:ext>
              </a:extLst>
            </xdr:cNvPr>
            <xdr:cNvSpPr txBox="1"/>
          </xdr:nvSpPr>
          <xdr:spPr>
            <a:xfrm>
              <a:off x="9525" y="3859530"/>
              <a:ext cx="2781300" cy="2771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0" i="0">
                  <a:latin typeface="Cambria Math" panose="02040503050406030204" pitchFamily="18" charset="0"/>
                </a:rPr>
                <a:t>𝑉_𝑓=</a:t>
              </a:r>
              <a:r>
                <a:rPr lang="es-PE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1.67∗10^8=0.55𝑐</a:t>
              </a:r>
              <a:endParaRPr lang="es-PE" sz="1600"/>
            </a:p>
          </xdr:txBody>
        </xdr:sp>
      </mc:Fallback>
    </mc:AlternateContent>
    <xdr:clientData/>
  </xdr:oneCellAnchor>
  <xdr:oneCellAnchor>
    <xdr:from>
      <xdr:col>0</xdr:col>
      <xdr:colOff>371475</xdr:colOff>
      <xdr:row>23</xdr:row>
      <xdr:rowOff>123825</xdr:rowOff>
    </xdr:from>
    <xdr:ext cx="876650" cy="22121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7A8A31E4-296D-4FAB-A7DC-808A51C742E7}"/>
                </a:ext>
              </a:extLst>
            </xdr:cNvPr>
            <xdr:cNvSpPr txBox="1"/>
          </xdr:nvSpPr>
          <xdr:spPr>
            <a:xfrm>
              <a:off x="371475" y="4330065"/>
              <a:ext cx="876650" cy="2212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PE" sz="14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PE" sz="1400" b="0" i="1">
                            <a:latin typeface="Cambria Math" panose="02040503050406030204" pitchFamily="18" charset="0"/>
                          </a:rPr>
                          <m:t>𝑍</m:t>
                        </m:r>
                      </m:e>
                      <m:sub>
                        <m:r>
                          <a:rPr lang="es-PE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es-PE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PE" sz="1400" b="0" i="1">
                        <a:latin typeface="Cambria Math" panose="02040503050406030204" pitchFamily="18" charset="0"/>
                      </a:rPr>
                      <m:t>=200</m:t>
                    </m:r>
                    <m:r>
                      <a:rPr lang="el-GR" sz="1400" b="0" i="1">
                        <a:latin typeface="Cambria Math" panose="02040503050406030204" pitchFamily="18" charset="0"/>
                      </a:rPr>
                      <m:t>𝛺</m:t>
                    </m:r>
                  </m:oMath>
                </m:oMathPara>
              </a14:m>
              <a:endParaRPr lang="es-PE" sz="1400"/>
            </a:p>
          </xdr:txBody>
        </xdr:sp>
      </mc:Choice>
      <mc:Fallback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7A8A31E4-296D-4FAB-A7DC-808A51C742E7}"/>
                </a:ext>
              </a:extLst>
            </xdr:cNvPr>
            <xdr:cNvSpPr txBox="1"/>
          </xdr:nvSpPr>
          <xdr:spPr>
            <a:xfrm>
              <a:off x="371475" y="4330065"/>
              <a:ext cx="876650" cy="2212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400" b="0" i="0">
                  <a:latin typeface="Cambria Math" panose="02040503050406030204" pitchFamily="18" charset="0"/>
                </a:rPr>
                <a:t>𝑍_0^′=200</a:t>
              </a:r>
              <a:r>
                <a:rPr lang="el-GR" sz="1400" b="0" i="0">
                  <a:latin typeface="Cambria Math" panose="02040503050406030204" pitchFamily="18" charset="0"/>
                </a:rPr>
                <a:t>𝛺</a:t>
              </a:r>
              <a:endParaRPr lang="es-PE" sz="1400"/>
            </a:p>
          </xdr:txBody>
        </xdr:sp>
      </mc:Fallback>
    </mc:AlternateContent>
    <xdr:clientData/>
  </xdr:oneCellAnchor>
  <xdr:oneCellAnchor>
    <xdr:from>
      <xdr:col>3</xdr:col>
      <xdr:colOff>733425</xdr:colOff>
      <xdr:row>21</xdr:row>
      <xdr:rowOff>80962</xdr:rowOff>
    </xdr:from>
    <xdr:ext cx="3249800" cy="40472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B84841A7-8073-4CE6-AF92-07DFCE3ED486}"/>
                </a:ext>
              </a:extLst>
            </xdr:cNvPr>
            <xdr:cNvSpPr txBox="1"/>
          </xdr:nvSpPr>
          <xdr:spPr>
            <a:xfrm>
              <a:off x="3110865" y="3921442"/>
              <a:ext cx="3249800" cy="4047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PE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PE" sz="1400" b="0" i="1">
                            <a:latin typeface="Cambria Math" panose="02040503050406030204" pitchFamily="18" charset="0"/>
                          </a:rPr>
                          <m:t>𝑍</m:t>
                        </m:r>
                      </m:e>
                      <m:sub>
                        <m:r>
                          <a:rPr lang="es-PE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es-PE" sz="1400" b="0" i="1">
                            <a:latin typeface="Cambria Math" panose="02040503050406030204" pitchFamily="18" charset="0"/>
                          </a:rPr>
                          <m:t>′′</m:t>
                        </m:r>
                      </m:sup>
                    </m:sSubSup>
                    <m:r>
                      <a:rPr lang="es-PE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PE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PE" sz="1400" b="0" i="1">
                            <a:latin typeface="Cambria Math" panose="02040503050406030204" pitchFamily="18" charset="0"/>
                          </a:rPr>
                          <m:t>−0.1∗200</m:t>
                        </m:r>
                      </m:num>
                      <m:den>
                        <m:r>
                          <a:rPr lang="es-PE" sz="1400" b="0" i="1">
                            <a:latin typeface="Cambria Math" panose="02040503050406030204" pitchFamily="18" charset="0"/>
                          </a:rPr>
                          <m:t>2∗</m:t>
                        </m:r>
                        <m:r>
                          <a:rPr lang="es-P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𝜋</m:t>
                        </m:r>
                        <m:r>
                          <a:rPr lang="es-PE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es-PE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PE" sz="1400" b="0" i="1">
                                <a:latin typeface="Cambria Math" panose="02040503050406030204" pitchFamily="18" charset="0"/>
                              </a:rPr>
                              <m:t>10</m:t>
                            </m:r>
                          </m:e>
                          <m:sup>
                            <m:r>
                              <a:rPr lang="es-PE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8</m:t>
                            </m:r>
                          </m:sup>
                        </m:sSup>
                        <m:r>
                          <a:rPr lang="es-PE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∗1.2∗</m:t>
                        </m:r>
                        <m:sSup>
                          <m:sSupPr>
                            <m:ctrlPr>
                              <a:rPr lang="es-PE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PE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10</m:t>
                            </m:r>
                          </m:e>
                          <m:sup>
                            <m:r>
                              <a:rPr lang="es-PE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−6</m:t>
                            </m:r>
                          </m:sup>
                        </m:sSup>
                      </m:den>
                    </m:f>
                    <m:r>
                      <a:rPr lang="es-PE" sz="1400" b="0" i="1">
                        <a:latin typeface="Cambria Math" panose="02040503050406030204" pitchFamily="18" charset="0"/>
                      </a:rPr>
                      <m:t>=−0.0265</m:t>
                    </m:r>
                    <m:r>
                      <a:rPr lang="el-GR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𝛺</m:t>
                    </m:r>
                  </m:oMath>
                </m:oMathPara>
              </a14:m>
              <a:endParaRPr lang="es-PE" sz="1400"/>
            </a:p>
          </xdr:txBody>
        </xdr:sp>
      </mc:Choice>
      <mc:Fallback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B84841A7-8073-4CE6-AF92-07DFCE3ED486}"/>
                </a:ext>
              </a:extLst>
            </xdr:cNvPr>
            <xdr:cNvSpPr txBox="1"/>
          </xdr:nvSpPr>
          <xdr:spPr>
            <a:xfrm>
              <a:off x="3110865" y="3921442"/>
              <a:ext cx="3249800" cy="4047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400" b="0" i="0">
                  <a:latin typeface="Cambria Math" panose="02040503050406030204" pitchFamily="18" charset="0"/>
                </a:rPr>
                <a:t>𝑍_0^′′=(−0.1∗200)/(2∗</a:t>
              </a:r>
              <a:r>
                <a:rPr lang="es-P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𝜋</a:t>
              </a:r>
              <a:r>
                <a:rPr lang="es-PE" sz="1400" b="0" i="0">
                  <a:latin typeface="Cambria Math" panose="02040503050406030204" pitchFamily="18" charset="0"/>
                </a:rPr>
                <a:t>∗10</a:t>
              </a:r>
              <a:r>
                <a:rPr lang="es-PE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^8∗1.2∗10^(−6) )</a:t>
              </a:r>
              <a:r>
                <a:rPr lang="es-PE" sz="1400" b="0" i="0">
                  <a:latin typeface="Cambria Math" panose="02040503050406030204" pitchFamily="18" charset="0"/>
                </a:rPr>
                <a:t>=−0.0265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𝛺</a:t>
              </a:r>
              <a:endParaRPr lang="es-PE" sz="1400"/>
            </a:p>
          </xdr:txBody>
        </xdr:sp>
      </mc:Fallback>
    </mc:AlternateContent>
    <xdr:clientData/>
  </xdr:oneCellAnchor>
  <xdr:oneCellAnchor>
    <xdr:from>
      <xdr:col>0</xdr:col>
      <xdr:colOff>523875</xdr:colOff>
      <xdr:row>27</xdr:row>
      <xdr:rowOff>176212</xdr:rowOff>
    </xdr:from>
    <xdr:ext cx="1987788" cy="1896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A8CC2244-42CE-40FF-9B72-56FBB88E8FDC}"/>
                </a:ext>
              </a:extLst>
            </xdr:cNvPr>
            <xdr:cNvSpPr txBox="1"/>
          </xdr:nvSpPr>
          <xdr:spPr>
            <a:xfrm>
              <a:off x="523875" y="5113972"/>
              <a:ext cx="1987788" cy="1896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200" b="0" i="1">
                        <a:latin typeface="Cambria Math" panose="02040503050406030204" pitchFamily="18" charset="0"/>
                      </a:rPr>
                      <m:t>𝑍</m:t>
                    </m:r>
                    <m:r>
                      <a:rPr lang="es-PE" sz="12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200" b="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PE" sz="12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200" b="0" i="1">
                        <a:latin typeface="Cambria Math" panose="02040503050406030204" pitchFamily="18" charset="0"/>
                      </a:rPr>
                      <m:t>𝑖</m:t>
                    </m:r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𝐿</m:t>
                    </m:r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=0.1+</m:t>
                    </m:r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𝑖</m:t>
                    </m:r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∗120</m:t>
                    </m:r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𝜋</m:t>
                    </m:r>
                  </m:oMath>
                </m:oMathPara>
              </a14:m>
              <a:endParaRPr lang="es-PE" sz="1200"/>
            </a:p>
          </xdr:txBody>
        </xdr:sp>
      </mc:Choice>
      <mc:Fallback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A8CC2244-42CE-40FF-9B72-56FBB88E8FDC}"/>
                </a:ext>
              </a:extLst>
            </xdr:cNvPr>
            <xdr:cNvSpPr txBox="1"/>
          </xdr:nvSpPr>
          <xdr:spPr>
            <a:xfrm>
              <a:off x="523875" y="5113972"/>
              <a:ext cx="1987788" cy="1896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200" b="0" i="0">
                  <a:latin typeface="Cambria Math" panose="02040503050406030204" pitchFamily="18" charset="0"/>
                </a:rPr>
                <a:t>𝑍=𝑅+𝑖</a:t>
              </a:r>
              <a:r>
                <a:rPr lang="es-PE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𝜔𝐿=0.1+𝑖∗120𝜋</a:t>
              </a:r>
              <a:endParaRPr lang="es-PE" sz="1200"/>
            </a:p>
          </xdr:txBody>
        </xdr:sp>
      </mc:Fallback>
    </mc:AlternateContent>
    <xdr:clientData/>
  </xdr:oneCellAnchor>
  <xdr:oneCellAnchor>
    <xdr:from>
      <xdr:col>0</xdr:col>
      <xdr:colOff>209550</xdr:colOff>
      <xdr:row>29</xdr:row>
      <xdr:rowOff>166687</xdr:rowOff>
    </xdr:from>
    <xdr:ext cx="5034134" cy="19332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0CC1F2F7-CD9C-49F9-8DDE-C19FCED18405}"/>
                </a:ext>
              </a:extLst>
            </xdr:cNvPr>
            <xdr:cNvSpPr txBox="1"/>
          </xdr:nvSpPr>
          <xdr:spPr>
            <a:xfrm>
              <a:off x="209550" y="5470207"/>
              <a:ext cx="5034134" cy="193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s-PE" sz="12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200" b="0" i="1">
                        <a:latin typeface="Cambria Math" panose="02040503050406030204" pitchFamily="18" charset="0"/>
                      </a:rPr>
                      <m:t>𝐺</m:t>
                    </m:r>
                    <m:r>
                      <a:rPr lang="es-PE" sz="12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200" b="0" i="1">
                        <a:latin typeface="Cambria Math" panose="02040503050406030204" pitchFamily="18" charset="0"/>
                      </a:rPr>
                      <m:t>𝑖</m:t>
                    </m:r>
                    <m:r>
                      <a:rPr lang="es-PE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𝜔</m:t>
                    </m:r>
                    <m:r>
                      <a:rPr lang="es-PE" sz="12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PE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PE" sz="12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PE" sz="12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6</m:t>
                        </m:r>
                      </m:sup>
                    </m:sSup>
                    <m:r>
                      <a:rPr lang="es-PE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PE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𝑖</m:t>
                    </m:r>
                    <m:r>
                      <a:rPr lang="es-PE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∗125.66∗</m:t>
                    </m:r>
                    <m:sSup>
                      <m:sSupPr>
                        <m:ctrlP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10</m:t>
                        </m:r>
                      </m:e>
                      <m:sup>
                        <m: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6</m:t>
                        </m:r>
                      </m:sup>
                    </m:sSup>
                    <m:r>
                      <a:rPr lang="es-PE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∗30∗</m:t>
                    </m:r>
                    <m:sSup>
                      <m:sSupPr>
                        <m:ctrlP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10</m:t>
                        </m:r>
                      </m:e>
                      <m:sup>
                        <m: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−12</m:t>
                        </m:r>
                      </m:sup>
                    </m:sSup>
                    <m:r>
                      <a:rPr lang="es-PE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p>
                      <m:sSupPr>
                        <m:ctrlP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10</m:t>
                        </m:r>
                      </m:e>
                      <m:sup>
                        <m: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−6</m:t>
                        </m:r>
                      </m:sup>
                    </m:sSup>
                    <m:r>
                      <a:rPr lang="es-PE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PE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𝑖</m:t>
                    </m:r>
                    <m:r>
                      <a:rPr lang="es-PE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∗3</m:t>
                    </m:r>
                    <m:r>
                      <a:rPr lang="es-PE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𝜋</m:t>
                    </m:r>
                    <m:r>
                      <a:rPr lang="es-PE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sSup>
                      <m:sSupPr>
                        <m:ctrlP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10</m:t>
                        </m:r>
                      </m:e>
                      <m:sup>
                        <m: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−3</m:t>
                        </m:r>
                      </m:sup>
                    </m:sSup>
                  </m:oMath>
                </m:oMathPara>
              </a14:m>
              <a:endParaRPr lang="es-PE" sz="1200"/>
            </a:p>
          </xdr:txBody>
        </xdr:sp>
      </mc:Choice>
      <mc:Fallback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0CC1F2F7-CD9C-49F9-8DDE-C19FCED18405}"/>
                </a:ext>
              </a:extLst>
            </xdr:cNvPr>
            <xdr:cNvSpPr txBox="1"/>
          </xdr:nvSpPr>
          <xdr:spPr>
            <a:xfrm>
              <a:off x="209550" y="5470207"/>
              <a:ext cx="5034134" cy="193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200" b="0" i="0">
                  <a:latin typeface="Cambria Math" panose="02040503050406030204" pitchFamily="18" charset="0"/>
                </a:rPr>
                <a:t>𝑌=𝐺+𝑖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𝜔</a:t>
              </a:r>
              <a:r>
                <a:rPr lang="es-PE" sz="1200" b="0" i="0">
                  <a:latin typeface="Cambria Math" panose="02040503050406030204" pitchFamily="18" charset="0"/>
                </a:rPr>
                <a:t>𝐶=10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</a:t>
              </a:r>
              <a:r>
                <a:rPr lang="es-PE" sz="1200" b="0" i="0">
                  <a:latin typeface="Cambria Math" panose="02040503050406030204" pitchFamily="18" charset="0"/>
                </a:rPr>
                <a:t>−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6)+𝑖∗125.66∗10^6∗30∗10^(−12)=10^(−6)+𝑖∗3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𝜋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∗10^(−3)</a:t>
              </a:r>
              <a:endParaRPr lang="es-PE" sz="1200"/>
            </a:p>
          </xdr:txBody>
        </xdr:sp>
      </mc:Fallback>
    </mc:AlternateContent>
    <xdr:clientData/>
  </xdr:oneCellAnchor>
  <xdr:oneCellAnchor>
    <xdr:from>
      <xdr:col>0</xdr:col>
      <xdr:colOff>133350</xdr:colOff>
      <xdr:row>31</xdr:row>
      <xdr:rowOff>128587</xdr:rowOff>
    </xdr:from>
    <xdr:ext cx="5765937" cy="22910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01D137C2-4F2A-4758-8D6D-BF50479F50B7}"/>
                </a:ext>
              </a:extLst>
            </xdr:cNvPr>
            <xdr:cNvSpPr txBox="1"/>
          </xdr:nvSpPr>
          <xdr:spPr>
            <a:xfrm>
              <a:off x="133350" y="5797867"/>
              <a:ext cx="576593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2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PE" sz="12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𝛽</m:t>
                    </m:r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𝑖</m:t>
                    </m:r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s-PE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es-PE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PE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𝑍</m:t>
                        </m:r>
                        <m:r>
                          <a:rPr lang="es-PE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</m:t>
                        </m:r>
                        <m:r>
                          <a:rPr lang="es-PE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𝑌</m:t>
                        </m:r>
                      </m:e>
                    </m:rad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s-PE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es-PE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d>
                          <m:dPr>
                            <m:ctrlPr>
                              <a:rPr lang="es-PE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PE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0.1+</m:t>
                            </m:r>
                            <m:r>
                              <a:rPr lang="es-PE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PE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∗120</m:t>
                            </m:r>
                            <m:r>
                              <a:rPr lang="es-PE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</m:e>
                        </m:d>
                        <m:d>
                          <m:dPr>
                            <m:ctrlPr>
                              <a:rPr lang="es-PE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PE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PE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10</m:t>
                                </m:r>
                              </m:e>
                              <m:sup>
                                <m:r>
                                  <a:rPr lang="es-PE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−6</m:t>
                                </m:r>
                              </m:sup>
                            </m:sSup>
                            <m:r>
                              <a:rPr lang="es-PE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PE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𝑖</m:t>
                            </m:r>
                            <m:r>
                              <a:rPr lang="es-PE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∗3</m:t>
                            </m:r>
                            <m:r>
                              <a:rPr lang="es-PE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𝜋</m:t>
                            </m:r>
                            <m:r>
                              <a:rPr lang="es-PE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∗</m:t>
                            </m:r>
                            <m:sSup>
                              <m:sSupPr>
                                <m:ctrlPr>
                                  <a:rPr lang="es-PE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PE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10</m:t>
                                </m:r>
                              </m:e>
                              <m:sup>
                                <m:r>
                                  <a:rPr lang="es-PE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−3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es-PE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=1.9−3.5∗</m:t>
                    </m:r>
                    <m:sSup>
                      <m:sSupPr>
                        <m:ctrlP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PE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PE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−4</m:t>
                        </m:r>
                      </m:sup>
                    </m:sSup>
                    <m:r>
                      <a:rPr lang="es-PE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𝑖</m:t>
                    </m:r>
                  </m:oMath>
                </m:oMathPara>
              </a14:m>
              <a:endParaRPr lang="es-PE" sz="1200"/>
            </a:p>
          </xdr:txBody>
        </xdr:sp>
      </mc:Choice>
      <mc:Fallback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01D137C2-4F2A-4758-8D6D-BF50479F50B7}"/>
                </a:ext>
              </a:extLst>
            </xdr:cNvPr>
            <xdr:cNvSpPr txBox="1"/>
          </xdr:nvSpPr>
          <xdr:spPr>
            <a:xfrm>
              <a:off x="133350" y="5797867"/>
              <a:ext cx="576593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r>
                <a:rPr lang="es-PE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PE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</a:t>
              </a:r>
              <a:r>
                <a:rPr lang="es-PE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−𝑖𝛼=√(−𝑍∗𝑌)=√(−(0.1+𝑖∗120𝜋)(10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^(−6)+𝑖∗3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𝜋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∗10^(−3) ) 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PE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=1.9−3.5∗10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^(−4) 𝑖</a:t>
              </a:r>
              <a:endParaRPr lang="es-PE" sz="1200"/>
            </a:p>
          </xdr:txBody>
        </xdr:sp>
      </mc:Fallback>
    </mc:AlternateContent>
    <xdr:clientData/>
  </xdr:oneCellAnchor>
  <xdr:oneCellAnchor>
    <xdr:from>
      <xdr:col>0</xdr:col>
      <xdr:colOff>723900</xdr:colOff>
      <xdr:row>33</xdr:row>
      <xdr:rowOff>109537</xdr:rowOff>
    </xdr:from>
    <xdr:ext cx="3570849" cy="5472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4F94E189-D017-431D-B5D5-B23560D4169F}"/>
                </a:ext>
              </a:extLst>
            </xdr:cNvPr>
            <xdr:cNvSpPr txBox="1"/>
          </xdr:nvSpPr>
          <xdr:spPr>
            <a:xfrm>
              <a:off x="723900" y="6144577"/>
              <a:ext cx="3570849" cy="5472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200" b="0" i="1">
                            <a:latin typeface="Cambria Math" panose="02040503050406030204" pitchFamily="18" charset="0"/>
                          </a:rPr>
                          <m:t>𝑍</m:t>
                        </m:r>
                      </m:e>
                      <m:sub>
                        <m:r>
                          <a:rPr lang="es-PE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PE" sz="1200" b="0" i="1">
                        <a:latin typeface="Cambria Math" panose="02040503050406030204" pitchFamily="18" charset="0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s-PE" sz="12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s-PE" sz="12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s-PE" sz="1200" b="0" i="1">
                                <a:latin typeface="Cambria Math" panose="02040503050406030204" pitchFamily="18" charset="0"/>
                              </a:rPr>
                              <m:t>𝑍</m:t>
                            </m:r>
                          </m:num>
                          <m:den>
                            <m:r>
                              <a:rPr lang="es-PE" sz="12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den>
                        </m:f>
                      </m:e>
                    </m:rad>
                    <m:r>
                      <a:rPr lang="es-PE" sz="1200" b="0" i="1">
                        <a:latin typeface="Cambria Math" panose="02040503050406030204" pitchFamily="18" charset="0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s-PE" sz="12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s-PE" sz="12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s-PE" sz="1200" b="0" i="1">
                                <a:latin typeface="Cambria Math" panose="02040503050406030204" pitchFamily="18" charset="0"/>
                              </a:rPr>
                              <m:t>0.1+</m:t>
                            </m:r>
                            <m:r>
                              <a:rPr lang="es-PE" sz="12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PE" sz="1200" b="0" i="1">
                                <a:latin typeface="Cambria Math" panose="02040503050406030204" pitchFamily="18" charset="0"/>
                              </a:rPr>
                              <m:t>∗120</m:t>
                            </m:r>
                            <m:r>
                              <a:rPr lang="es-PE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</m:num>
                          <m:den>
                            <m:sSup>
                              <m:sSupPr>
                                <m:ctrlPr>
                                  <a:rPr lang="es-PE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PE" sz="1200" b="0" i="1">
                                    <a:latin typeface="Cambria Math" panose="02040503050406030204" pitchFamily="18" charset="0"/>
                                  </a:rPr>
                                  <m:t>10</m:t>
                                </m:r>
                              </m:e>
                              <m:sup>
                                <m:r>
                                  <a:rPr lang="es-PE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−6</m:t>
                                </m:r>
                              </m:sup>
                            </m:sSup>
                            <m:r>
                              <a:rPr lang="es-PE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PE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𝑖</m:t>
                            </m:r>
                            <m:r>
                              <a:rPr lang="es-PE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∗3</m:t>
                            </m:r>
                            <m:r>
                              <a:rPr lang="es-PE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𝜋</m:t>
                            </m:r>
                            <m:r>
                              <a:rPr lang="es-PE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∗</m:t>
                            </m:r>
                            <m:sSup>
                              <m:sSupPr>
                                <m:ctrlPr>
                                  <a:rPr lang="es-PE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PE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10</m:t>
                                </m:r>
                              </m:e>
                              <m:sup>
                                <m:r>
                                  <a:rPr lang="es-PE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−3</m:t>
                                </m:r>
                              </m:sup>
                            </m:sSup>
                          </m:den>
                        </m:f>
                      </m:e>
                    </m:rad>
                    <m:r>
                      <a:rPr lang="es-PE" sz="1200" b="0" i="1">
                        <a:latin typeface="Cambria Math" panose="02040503050406030204" pitchFamily="18" charset="0"/>
                      </a:rPr>
                      <m:t>=(200−0.016</m:t>
                    </m:r>
                    <m:r>
                      <a:rPr lang="es-PE" sz="1200" b="0" i="1">
                        <a:latin typeface="Cambria Math" panose="02040503050406030204" pitchFamily="18" charset="0"/>
                      </a:rPr>
                      <m:t>𝑖</m:t>
                    </m:r>
                    <m:r>
                      <a:rPr lang="es-PE" sz="1200" b="0" i="1">
                        <a:latin typeface="Cambria Math" panose="02040503050406030204" pitchFamily="18" charset="0"/>
                      </a:rPr>
                      <m:t>)</m:t>
                    </m:r>
                    <m:r>
                      <a:rPr lang="el-GR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𝛺</m:t>
                    </m:r>
                  </m:oMath>
                </m:oMathPara>
              </a14:m>
              <a:endParaRPr lang="es-PE" sz="1200"/>
            </a:p>
          </xdr:txBody>
        </xdr:sp>
      </mc:Choice>
      <mc:Fallback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4F94E189-D017-431D-B5D5-B23560D4169F}"/>
                </a:ext>
              </a:extLst>
            </xdr:cNvPr>
            <xdr:cNvSpPr txBox="1"/>
          </xdr:nvSpPr>
          <xdr:spPr>
            <a:xfrm>
              <a:off x="723900" y="6144577"/>
              <a:ext cx="3570849" cy="5472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200" b="0" i="0">
                  <a:latin typeface="Cambria Math" panose="02040503050406030204" pitchFamily="18" charset="0"/>
                </a:rPr>
                <a:t>𝑍_0=√(𝑍/𝑌)=√((0.1+𝑖∗120</a:t>
              </a:r>
              <a:r>
                <a:rPr lang="es-PE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𝜋)/(</a:t>
              </a:r>
              <a:r>
                <a:rPr lang="es-PE" sz="1200" b="0" i="0">
                  <a:latin typeface="Cambria Math" panose="02040503050406030204" pitchFamily="18" charset="0"/>
                </a:rPr>
                <a:t>10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^(−6)+𝑖∗3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𝜋</a:t>
              </a:r>
              <a:r>
                <a:rPr lang="es-PE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∗10^(−3) ))</a:t>
              </a:r>
              <a:r>
                <a:rPr lang="es-PE" sz="1200" b="0" i="0">
                  <a:latin typeface="Cambria Math" panose="02040503050406030204" pitchFamily="18" charset="0"/>
                </a:rPr>
                <a:t>=(200−0.016𝑖)</a:t>
              </a:r>
              <a:r>
                <a:rPr lang="el-GR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𝛺</a:t>
              </a:r>
              <a:endParaRPr lang="es-PE" sz="1200"/>
            </a:p>
          </xdr:txBody>
        </xdr:sp>
      </mc:Fallback>
    </mc:AlternateContent>
    <xdr:clientData/>
  </xdr:oneCellAnchor>
  <xdr:twoCellAnchor>
    <xdr:from>
      <xdr:col>7</xdr:col>
      <xdr:colOff>1162049</xdr:colOff>
      <xdr:row>22</xdr:row>
      <xdr:rowOff>128586</xdr:rowOff>
    </xdr:from>
    <xdr:to>
      <xdr:col>15</xdr:col>
      <xdr:colOff>19049</xdr:colOff>
      <xdr:row>39</xdr:row>
      <xdr:rowOff>38099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3B5EBF36-3B45-4E00-A836-9B2649F99D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6</xdr:col>
      <xdr:colOff>764245</xdr:colOff>
      <xdr:row>15</xdr:row>
      <xdr:rowOff>38100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FF58AB3-B343-608D-A4CB-CBEFC58F4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82880"/>
          <a:ext cx="5519124" cy="25984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121921</xdr:rowOff>
    </xdr:from>
    <xdr:to>
      <xdr:col>5</xdr:col>
      <xdr:colOff>342900</xdr:colOff>
      <xdr:row>12</xdr:row>
      <xdr:rowOff>73643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3421F43-6E38-95F4-771F-46037D73D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1"/>
          <a:ext cx="4305300" cy="21462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114585</xdr:colOff>
      <xdr:row>12</xdr:row>
      <xdr:rowOff>30673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14D29C1-A86E-809B-16B2-4EE14F925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284505" cy="2225233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12</xdr:row>
      <xdr:rowOff>167640</xdr:rowOff>
    </xdr:from>
    <xdr:to>
      <xdr:col>5</xdr:col>
      <xdr:colOff>373750</xdr:colOff>
      <xdr:row>15</xdr:row>
      <xdr:rowOff>91481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7A6BFB2-9799-3DAD-E5D7-3CF9F3699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" y="2362200"/>
          <a:ext cx="4275190" cy="47248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15</xdr:row>
      <xdr:rowOff>22860</xdr:rowOff>
    </xdr:from>
    <xdr:to>
      <xdr:col>5</xdr:col>
      <xdr:colOff>327660</xdr:colOff>
      <xdr:row>17</xdr:row>
      <xdr:rowOff>129540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0B40C96-597B-C57B-8792-02C385200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2766060"/>
          <a:ext cx="4251960" cy="47244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106681</xdr:colOff>
      <xdr:row>18</xdr:row>
      <xdr:rowOff>45720</xdr:rowOff>
    </xdr:from>
    <xdr:to>
      <xdr:col>5</xdr:col>
      <xdr:colOff>699347</xdr:colOff>
      <xdr:row>39</xdr:row>
      <xdr:rowOff>167640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FDAF816-23AE-AF78-BD0F-8367E11ED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681" y="3337560"/>
          <a:ext cx="4555066" cy="3962400"/>
        </a:xfrm>
        <a:prstGeom prst="rect">
          <a:avLst/>
        </a:prstGeom>
      </xdr:spPr>
    </xdr:pic>
    <xdr:clientData/>
  </xdr:twoCellAnchor>
  <xdr:twoCellAnchor>
    <xdr:from>
      <xdr:col>1</xdr:col>
      <xdr:colOff>99060</xdr:colOff>
      <xdr:row>16</xdr:row>
      <xdr:rowOff>152400</xdr:rowOff>
    </xdr:from>
    <xdr:to>
      <xdr:col>1</xdr:col>
      <xdr:colOff>426720</xdr:colOff>
      <xdr:row>17</xdr:row>
      <xdr:rowOff>129540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CA8A3170-865D-01D2-1765-190D93BD4636}"/>
            </a:ext>
          </a:extLst>
        </xdr:cNvPr>
        <xdr:cNvSpPr/>
      </xdr:nvSpPr>
      <xdr:spPr>
        <a:xfrm>
          <a:off x="891540" y="3078480"/>
          <a:ext cx="327660" cy="16002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 kern="1200"/>
        </a:p>
      </xdr:txBody>
    </xdr:sp>
    <xdr:clientData/>
  </xdr:twoCellAnchor>
  <xdr:twoCellAnchor>
    <xdr:from>
      <xdr:col>2</xdr:col>
      <xdr:colOff>441960</xdr:colOff>
      <xdr:row>16</xdr:row>
      <xdr:rowOff>144780</xdr:rowOff>
    </xdr:from>
    <xdr:to>
      <xdr:col>2</xdr:col>
      <xdr:colOff>769620</xdr:colOff>
      <xdr:row>17</xdr:row>
      <xdr:rowOff>121920</xdr:rowOff>
    </xdr:to>
    <xdr:sp macro="" textlink="">
      <xdr:nvSpPr>
        <xdr:cNvPr id="7" name="Elipse 6">
          <a:extLst>
            <a:ext uri="{FF2B5EF4-FFF2-40B4-BE49-F238E27FC236}">
              <a16:creationId xmlns:a16="http://schemas.microsoft.com/office/drawing/2014/main" id="{57A1B816-3FC5-4F6B-A4C3-3D0D4D2DE677}"/>
            </a:ext>
          </a:extLst>
        </xdr:cNvPr>
        <xdr:cNvSpPr/>
      </xdr:nvSpPr>
      <xdr:spPr>
        <a:xfrm>
          <a:off x="2026920" y="3070860"/>
          <a:ext cx="327660" cy="16002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 kern="1200"/>
        </a:p>
      </xdr:txBody>
    </xdr:sp>
    <xdr:clientData/>
  </xdr:twoCellAnchor>
  <xdr:twoCellAnchor>
    <xdr:from>
      <xdr:col>3</xdr:col>
      <xdr:colOff>739140</xdr:colOff>
      <xdr:row>14</xdr:row>
      <xdr:rowOff>45720</xdr:rowOff>
    </xdr:from>
    <xdr:to>
      <xdr:col>4</xdr:col>
      <xdr:colOff>213360</xdr:colOff>
      <xdr:row>15</xdr:row>
      <xdr:rowOff>60960</xdr:rowOff>
    </xdr:to>
    <xdr:sp macro="" textlink="">
      <xdr:nvSpPr>
        <xdr:cNvPr id="8" name="Elipse 7">
          <a:extLst>
            <a:ext uri="{FF2B5EF4-FFF2-40B4-BE49-F238E27FC236}">
              <a16:creationId xmlns:a16="http://schemas.microsoft.com/office/drawing/2014/main" id="{E2F767B1-320A-48FA-8309-BAC02F92A937}"/>
            </a:ext>
          </a:extLst>
        </xdr:cNvPr>
        <xdr:cNvSpPr/>
      </xdr:nvSpPr>
      <xdr:spPr>
        <a:xfrm>
          <a:off x="3116580" y="2606040"/>
          <a:ext cx="266700" cy="19812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 kern="1200"/>
        </a:p>
      </xdr:txBody>
    </xdr:sp>
    <xdr:clientData/>
  </xdr:twoCellAnchor>
  <xdr:twoCellAnchor>
    <xdr:from>
      <xdr:col>3</xdr:col>
      <xdr:colOff>777240</xdr:colOff>
      <xdr:row>16</xdr:row>
      <xdr:rowOff>121920</xdr:rowOff>
    </xdr:from>
    <xdr:to>
      <xdr:col>4</xdr:col>
      <xdr:colOff>236220</xdr:colOff>
      <xdr:row>17</xdr:row>
      <xdr:rowOff>99060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E14D5B7F-67CA-4DB6-A9D6-69EFF12C5BFF}"/>
            </a:ext>
          </a:extLst>
        </xdr:cNvPr>
        <xdr:cNvSpPr/>
      </xdr:nvSpPr>
      <xdr:spPr>
        <a:xfrm>
          <a:off x="3154680" y="3048000"/>
          <a:ext cx="251460" cy="16002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 kern="1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53341</xdr:colOff>
      <xdr:row>7</xdr:row>
      <xdr:rowOff>121920</xdr:rowOff>
    </xdr:from>
    <xdr:ext cx="929640" cy="318203"/>
    <xdr:pic>
      <xdr:nvPicPr>
        <xdr:cNvPr id="3" name="Imagen 2">
          <a:extLst>
            <a:ext uri="{FF2B5EF4-FFF2-40B4-BE49-F238E27FC236}">
              <a16:creationId xmlns:a16="http://schemas.microsoft.com/office/drawing/2014/main" id="{62C62B37-5BC8-462A-966D-3E34147880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1408"/>
        <a:stretch/>
      </xdr:blipFill>
      <xdr:spPr>
        <a:xfrm>
          <a:off x="662941" y="1402080"/>
          <a:ext cx="929640" cy="318203"/>
        </a:xfrm>
        <a:prstGeom prst="rect">
          <a:avLst/>
        </a:prstGeom>
      </xdr:spPr>
    </xdr:pic>
    <xdr:clientData/>
  </xdr:oneCellAnchor>
  <xdr:oneCellAnchor>
    <xdr:from>
      <xdr:col>0</xdr:col>
      <xdr:colOff>373381</xdr:colOff>
      <xdr:row>9</xdr:row>
      <xdr:rowOff>111168</xdr:rowOff>
    </xdr:from>
    <xdr:ext cx="5270386" cy="475572"/>
    <xdr:pic>
      <xdr:nvPicPr>
        <xdr:cNvPr id="4" name="Imagen 3">
          <a:extLst>
            <a:ext uri="{FF2B5EF4-FFF2-40B4-BE49-F238E27FC236}">
              <a16:creationId xmlns:a16="http://schemas.microsoft.com/office/drawing/2014/main" id="{67522554-AED5-4BFA-86DE-06D5B0FE5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381" y="1757088"/>
          <a:ext cx="5270386" cy="475572"/>
        </a:xfrm>
        <a:prstGeom prst="rect">
          <a:avLst/>
        </a:prstGeom>
      </xdr:spPr>
    </xdr:pic>
    <xdr:clientData/>
  </xdr:oneCellAnchor>
  <xdr:oneCellAnchor>
    <xdr:from>
      <xdr:col>3</xdr:col>
      <xdr:colOff>396240</xdr:colOff>
      <xdr:row>12</xdr:row>
      <xdr:rowOff>167038</xdr:rowOff>
    </xdr:from>
    <xdr:ext cx="1363980" cy="495992"/>
    <xdr:pic>
      <xdr:nvPicPr>
        <xdr:cNvPr id="5" name="Imagen 4">
          <a:extLst>
            <a:ext uri="{FF2B5EF4-FFF2-40B4-BE49-F238E27FC236}">
              <a16:creationId xmlns:a16="http://schemas.microsoft.com/office/drawing/2014/main" id="{DB8355BB-F94E-41AC-906F-7B09CBA8A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5040" y="2361598"/>
          <a:ext cx="1363980" cy="495992"/>
        </a:xfrm>
        <a:prstGeom prst="rect">
          <a:avLst/>
        </a:prstGeom>
      </xdr:spPr>
    </xdr:pic>
    <xdr:clientData/>
  </xdr:oneCellAnchor>
  <xdr:oneCellAnchor>
    <xdr:from>
      <xdr:col>8</xdr:col>
      <xdr:colOff>205741</xdr:colOff>
      <xdr:row>12</xdr:row>
      <xdr:rowOff>177275</xdr:rowOff>
    </xdr:from>
    <xdr:ext cx="1287780" cy="643890"/>
    <xdr:pic>
      <xdr:nvPicPr>
        <xdr:cNvPr id="6" name="Imagen 5">
          <a:extLst>
            <a:ext uri="{FF2B5EF4-FFF2-40B4-BE49-F238E27FC236}">
              <a16:creationId xmlns:a16="http://schemas.microsoft.com/office/drawing/2014/main" id="{405BAC25-8DFE-4191-B79C-B2D68E27E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82541" y="2371835"/>
          <a:ext cx="1287780" cy="64389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</xdr:row>
      <xdr:rowOff>0</xdr:rowOff>
    </xdr:from>
    <xdr:ext cx="304800" cy="304800"/>
    <xdr:sp macro="" textlink="">
      <xdr:nvSpPr>
        <xdr:cNvPr id="7" name="AutoShape 1">
          <a:extLst>
            <a:ext uri="{FF2B5EF4-FFF2-40B4-BE49-F238E27FC236}">
              <a16:creationId xmlns:a16="http://schemas.microsoft.com/office/drawing/2014/main" id="{74441DED-8ED9-4C4A-A1F3-8CA63AE6EDD8}"/>
            </a:ext>
          </a:extLst>
        </xdr:cNvPr>
        <xdr:cNvSpPr>
          <a:spLocks noChangeAspect="1" noChangeArrowheads="1"/>
        </xdr:cNvSpPr>
      </xdr:nvSpPr>
      <xdr:spPr bwMode="auto">
        <a:xfrm>
          <a:off x="6096000" y="164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144781</xdr:colOff>
      <xdr:row>16</xdr:row>
      <xdr:rowOff>108142</xdr:rowOff>
    </xdr:from>
    <xdr:ext cx="3116580" cy="493949"/>
    <xdr:pic>
      <xdr:nvPicPr>
        <xdr:cNvPr id="8" name="Imagen 7">
          <a:extLst>
            <a:ext uri="{FF2B5EF4-FFF2-40B4-BE49-F238E27FC236}">
              <a16:creationId xmlns:a16="http://schemas.microsoft.com/office/drawing/2014/main" id="{F5FAEE12-9FB3-4E84-80FC-42867A54B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381" y="3034222"/>
          <a:ext cx="3116580" cy="493949"/>
        </a:xfrm>
        <a:prstGeom prst="rect">
          <a:avLst/>
        </a:prstGeom>
      </xdr:spPr>
    </xdr:pic>
    <xdr:clientData/>
  </xdr:oneCellAnchor>
  <xdr:oneCellAnchor>
    <xdr:from>
      <xdr:col>0</xdr:col>
      <xdr:colOff>350520</xdr:colOff>
      <xdr:row>19</xdr:row>
      <xdr:rowOff>126504</xdr:rowOff>
    </xdr:from>
    <xdr:ext cx="3665220" cy="176431"/>
    <xdr:pic>
      <xdr:nvPicPr>
        <xdr:cNvPr id="9" name="Imagen 8">
          <a:extLst>
            <a:ext uri="{FF2B5EF4-FFF2-40B4-BE49-F238E27FC236}">
              <a16:creationId xmlns:a16="http://schemas.microsoft.com/office/drawing/2014/main" id="{65298C34-CA0B-46CA-9992-2940B270A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520" y="3601224"/>
          <a:ext cx="3665220" cy="176431"/>
        </a:xfrm>
        <a:prstGeom prst="rect">
          <a:avLst/>
        </a:prstGeom>
      </xdr:spPr>
    </xdr:pic>
    <xdr:clientData/>
  </xdr:oneCellAnchor>
  <xdr:twoCellAnchor editAs="oneCell">
    <xdr:from>
      <xdr:col>0</xdr:col>
      <xdr:colOff>15241</xdr:colOff>
      <xdr:row>0</xdr:row>
      <xdr:rowOff>76200</xdr:rowOff>
    </xdr:from>
    <xdr:to>
      <xdr:col>7</xdr:col>
      <xdr:colOff>152400</xdr:colOff>
      <xdr:row>7</xdr:row>
      <xdr:rowOff>102685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2E836CA-6849-D74C-FA3D-9DEDF2E33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1" y="76200"/>
          <a:ext cx="4511039" cy="130664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E8:I11" totalsRowShown="0">
  <autoFilter ref="E8:I11" xr:uid="{00000000-0009-0000-0100-000001000000}"/>
  <tableColumns count="5">
    <tableColumn id="1" xr3:uid="{00000000-0010-0000-0000-000001000000}" name="Columna1"/>
    <tableColumn id="2" xr3:uid="{00000000-0010-0000-0000-000002000000}" name="L">
      <calculatedColumnFormula>1.2*(10^-6)</calculatedColumnFormula>
    </tableColumn>
    <tableColumn id="3" xr3:uid="{00000000-0010-0000-0000-000003000000}" name="C">
      <calculatedColumnFormula>30*(10^-12)</calculatedColumnFormula>
    </tableColumn>
    <tableColumn id="4" xr3:uid="{00000000-0010-0000-0000-000004000000}" name="R"/>
    <tableColumn id="5" xr3:uid="{00000000-0010-0000-0000-000005000000}" name="G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a2" displayName="Tabla2" ref="L6:M8" totalsRowShown="0">
  <autoFilter ref="L6:M8" xr:uid="{00000000-0009-0000-0100-000002000000}"/>
  <tableColumns count="2">
    <tableColumn id="1" xr3:uid="{00000000-0010-0000-0100-000001000000}" name="Columna1"/>
    <tableColumn id="2" xr3:uid="{00000000-0010-0000-0100-000002000000}" name="G4" dataDxfId="0">
      <calculatedColumnFormula>150*(10^6)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121E7-152C-4661-8401-716D694591AB}">
  <dimension ref="G2:O42"/>
  <sheetViews>
    <sheetView topLeftCell="A3" zoomScale="88" zoomScaleNormal="88" workbookViewId="0">
      <selection activeCell="G21" sqref="G21:H21"/>
    </sheetView>
  </sheetViews>
  <sheetFormatPr baseColWidth="10" defaultRowHeight="14.4" x14ac:dyDescent="0.3"/>
  <cols>
    <col min="8" max="8" width="19.6640625" bestFit="1" customWidth="1"/>
    <col min="15" max="15" width="16.109375" customWidth="1"/>
    <col min="16" max="16" width="12" bestFit="1" customWidth="1"/>
  </cols>
  <sheetData>
    <row r="2" spans="7:15" x14ac:dyDescent="0.3">
      <c r="G2" t="s">
        <v>47</v>
      </c>
      <c r="H2">
        <v>300000000</v>
      </c>
    </row>
    <row r="3" spans="7:15" x14ac:dyDescent="0.3">
      <c r="G3" t="s">
        <v>48</v>
      </c>
      <c r="H3">
        <v>120</v>
      </c>
      <c r="I3" t="s">
        <v>49</v>
      </c>
    </row>
    <row r="4" spans="7:15" x14ac:dyDescent="0.3">
      <c r="G4" t="s">
        <v>48</v>
      </c>
      <c r="H4">
        <v>120000000</v>
      </c>
      <c r="I4" t="s">
        <v>50</v>
      </c>
    </row>
    <row r="5" spans="7:15" x14ac:dyDescent="0.3">
      <c r="G5" t="s">
        <v>52</v>
      </c>
      <c r="H5">
        <f>2*PI()*H4</f>
        <v>753982236.86155033</v>
      </c>
      <c r="I5" t="s">
        <v>51</v>
      </c>
    </row>
    <row r="6" spans="7:15" x14ac:dyDescent="0.3">
      <c r="G6" s="9" t="s">
        <v>96</v>
      </c>
      <c r="H6" s="9" t="s">
        <v>0</v>
      </c>
      <c r="I6" s="9"/>
      <c r="J6" s="9" t="s">
        <v>1</v>
      </c>
      <c r="K6" s="9"/>
      <c r="L6" s="9" t="s">
        <v>4</v>
      </c>
    </row>
    <row r="7" spans="7:15" x14ac:dyDescent="0.3">
      <c r="G7" s="9"/>
      <c r="H7" s="9">
        <v>2.8</v>
      </c>
      <c r="I7" s="10" t="s">
        <v>53</v>
      </c>
      <c r="J7" s="9">
        <v>10.199999999999999</v>
      </c>
      <c r="K7" s="10" t="s">
        <v>54</v>
      </c>
      <c r="L7">
        <v>3.5</v>
      </c>
      <c r="N7" t="s">
        <v>98</v>
      </c>
    </row>
    <row r="8" spans="7:15" x14ac:dyDescent="0.3">
      <c r="G8" s="9"/>
      <c r="H8" s="9">
        <f>2.8*10^-6</f>
        <v>2.7999999999999999E-6</v>
      </c>
      <c r="I8" s="10"/>
      <c r="J8" s="9">
        <f>10.2*10^-12</f>
        <v>1.0199999999999999E-11</v>
      </c>
      <c r="K8" s="10"/>
    </row>
    <row r="10" spans="7:15" x14ac:dyDescent="0.3">
      <c r="G10" t="s">
        <v>55</v>
      </c>
      <c r="H10">
        <f>SQRT(J8*H8)*H5</f>
        <v>4.029398458534283</v>
      </c>
      <c r="I10" t="s">
        <v>56</v>
      </c>
    </row>
    <row r="11" spans="7:15" x14ac:dyDescent="0.3">
      <c r="G11" s="1" t="s">
        <v>10</v>
      </c>
      <c r="H11" s="1">
        <f>1/SQRT(H8*J8)</f>
        <v>187120297.14127994</v>
      </c>
      <c r="I11" t="s">
        <v>58</v>
      </c>
      <c r="J11">
        <f>H11/H2</f>
        <v>0.62373432380426641</v>
      </c>
      <c r="K11" t="s">
        <v>24</v>
      </c>
      <c r="N11" t="s">
        <v>99</v>
      </c>
      <c r="O11" t="str">
        <f>H12</f>
        <v>3.5+2.111150263</v>
      </c>
    </row>
    <row r="12" spans="7:15" x14ac:dyDescent="0.3">
      <c r="G12" s="1" t="s">
        <v>95</v>
      </c>
      <c r="H12" s="1" t="s">
        <v>106</v>
      </c>
    </row>
    <row r="13" spans="7:15" x14ac:dyDescent="0.3">
      <c r="G13" s="1" t="s">
        <v>59</v>
      </c>
      <c r="H13" s="1">
        <f>SQRT(H8/J8)</f>
        <v>523.93683199558382</v>
      </c>
      <c r="N13" t="s">
        <v>100</v>
      </c>
    </row>
    <row r="15" spans="7:15" x14ac:dyDescent="0.3">
      <c r="G15" s="7" t="s">
        <v>97</v>
      </c>
      <c r="H15" s="7" t="s">
        <v>0</v>
      </c>
      <c r="I15" s="7"/>
      <c r="J15" s="7" t="s">
        <v>1</v>
      </c>
      <c r="K15" s="7"/>
      <c r="L15" s="7" t="s">
        <v>4</v>
      </c>
    </row>
    <row r="16" spans="7:15" x14ac:dyDescent="0.3">
      <c r="G16" s="7"/>
      <c r="H16" s="7">
        <v>2.8</v>
      </c>
      <c r="I16" s="8" t="s">
        <v>53</v>
      </c>
      <c r="J16" s="7">
        <v>10.199999999999999</v>
      </c>
      <c r="K16" s="8" t="s">
        <v>54</v>
      </c>
      <c r="L16">
        <v>3.5</v>
      </c>
    </row>
    <row r="17" spans="7:15" x14ac:dyDescent="0.3">
      <c r="G17" s="7"/>
      <c r="H17" s="7">
        <f>2.8*10^-6</f>
        <v>2.7999999999999999E-6</v>
      </c>
      <c r="I17" s="8"/>
      <c r="J17" s="7">
        <f>10.2*10^-12</f>
        <v>1.0199999999999999E-11</v>
      </c>
      <c r="K17" s="8"/>
      <c r="N17" s="11" t="s">
        <v>105</v>
      </c>
      <c r="O17">
        <f>H21</f>
        <v>9.5431351542052794E-5</v>
      </c>
    </row>
    <row r="19" spans="7:15" x14ac:dyDescent="0.3">
      <c r="G19" t="s">
        <v>60</v>
      </c>
      <c r="H19">
        <f>H5*H17</f>
        <v>2111.1502632123406</v>
      </c>
      <c r="N19" t="s">
        <v>101</v>
      </c>
    </row>
    <row r="20" spans="7:15" x14ac:dyDescent="0.3">
      <c r="G20" t="s">
        <v>55</v>
      </c>
      <c r="H20">
        <f>SQRT(J8*H8)*H5</f>
        <v>4.029398458534283</v>
      </c>
      <c r="I20" t="s">
        <v>56</v>
      </c>
    </row>
    <row r="21" spans="7:15" x14ac:dyDescent="0.3">
      <c r="G21" s="17" t="s">
        <v>61</v>
      </c>
      <c r="H21" s="1">
        <v>9.5431351542052794E-5</v>
      </c>
      <c r="I21" t="s">
        <v>56</v>
      </c>
    </row>
    <row r="22" spans="7:15" x14ac:dyDescent="0.3">
      <c r="G22" t="s">
        <v>64</v>
      </c>
      <c r="H22">
        <f>1/SQRT(H8*J8)</f>
        <v>187120297.14127994</v>
      </c>
      <c r="I22" t="s">
        <v>58</v>
      </c>
      <c r="J22">
        <f>H22/H2</f>
        <v>0.62373432380426641</v>
      </c>
      <c r="K22" t="s">
        <v>24</v>
      </c>
    </row>
    <row r="23" spans="7:15" x14ac:dyDescent="0.3">
      <c r="G23" t="s">
        <v>63</v>
      </c>
      <c r="H23">
        <f>SQRT(H17/J17)</f>
        <v>523.93683199558382</v>
      </c>
      <c r="N23" t="s">
        <v>102</v>
      </c>
      <c r="O23">
        <f>H22</f>
        <v>187120297.14127994</v>
      </c>
    </row>
    <row r="24" spans="7:15" x14ac:dyDescent="0.3">
      <c r="G24" t="s">
        <v>62</v>
      </c>
      <c r="H24">
        <f>-0.1*H23/(2*H19)</f>
        <v>-1.2408800101191234E-2</v>
      </c>
    </row>
    <row r="25" spans="7:15" x14ac:dyDescent="0.3">
      <c r="N25" t="s">
        <v>103</v>
      </c>
    </row>
    <row r="26" spans="7:15" x14ac:dyDescent="0.3">
      <c r="G26" s="1" t="s">
        <v>97</v>
      </c>
      <c r="H26" s="1" t="s">
        <v>0</v>
      </c>
      <c r="I26" s="1"/>
      <c r="J26" s="1" t="s">
        <v>1</v>
      </c>
      <c r="K26" s="1"/>
      <c r="L26" s="1" t="s">
        <v>4</v>
      </c>
      <c r="M26" s="1" t="s">
        <v>5</v>
      </c>
    </row>
    <row r="27" spans="7:15" x14ac:dyDescent="0.3">
      <c r="G27" s="1"/>
      <c r="H27" s="1">
        <v>1.2</v>
      </c>
      <c r="I27" s="12" t="s">
        <v>53</v>
      </c>
      <c r="J27" s="1">
        <v>30</v>
      </c>
      <c r="K27" s="12" t="s">
        <v>54</v>
      </c>
      <c r="L27">
        <v>3.5</v>
      </c>
      <c r="M27">
        <f>3*10^-7</f>
        <v>2.9999999999999999E-7</v>
      </c>
    </row>
    <row r="28" spans="7:15" x14ac:dyDescent="0.3">
      <c r="G28" s="1"/>
      <c r="H28" s="1">
        <f>2.8*10^-6</f>
        <v>2.7999999999999999E-6</v>
      </c>
      <c r="I28" s="12"/>
      <c r="J28" s="1">
        <f>10.2*10^-12</f>
        <v>1.0199999999999999E-11</v>
      </c>
      <c r="K28" s="12"/>
    </row>
    <row r="30" spans="7:15" x14ac:dyDescent="0.3">
      <c r="G30" t="s">
        <v>60</v>
      </c>
      <c r="H30">
        <v>2111.1502632123406</v>
      </c>
      <c r="N30" t="s">
        <v>104</v>
      </c>
      <c r="O30">
        <f>H13</f>
        <v>523.93683199558382</v>
      </c>
    </row>
    <row r="31" spans="7:15" x14ac:dyDescent="0.3">
      <c r="G31" t="s">
        <v>65</v>
      </c>
      <c r="H31">
        <f>H5*J28</f>
        <v>7.6906188159878127E-3</v>
      </c>
    </row>
    <row r="32" spans="7:15" x14ac:dyDescent="0.3">
      <c r="G32" t="s">
        <v>66</v>
      </c>
      <c r="H32" t="str">
        <f>COMPLEX(L27,H30)</f>
        <v>3.5+2111.15026321234i</v>
      </c>
    </row>
    <row r="33" spans="7:11" x14ac:dyDescent="0.3">
      <c r="G33" t="s">
        <v>67</v>
      </c>
      <c r="H33" t="str">
        <f>COMPLEX(M27,H31)</f>
        <v>0.0000003+0.00769061881598781i</v>
      </c>
    </row>
    <row r="35" spans="7:11" x14ac:dyDescent="0.3">
      <c r="G35" t="s">
        <v>68</v>
      </c>
      <c r="H35">
        <f>H20-H21</f>
        <v>4.029303027182741</v>
      </c>
      <c r="I35" t="s">
        <v>56</v>
      </c>
    </row>
    <row r="36" spans="7:11" x14ac:dyDescent="0.3">
      <c r="G36" s="11" t="s">
        <v>61</v>
      </c>
      <c r="H36">
        <f>0.1*H20/(2*H30)</f>
        <v>9.5431351542052794E-5</v>
      </c>
      <c r="I36" t="s">
        <v>56</v>
      </c>
    </row>
    <row r="37" spans="7:11" x14ac:dyDescent="0.3">
      <c r="G37" t="s">
        <v>64</v>
      </c>
      <c r="H37">
        <f>H22</f>
        <v>187120297.14127994</v>
      </c>
      <c r="I37" t="s">
        <v>58</v>
      </c>
      <c r="J37">
        <f>H37/H2</f>
        <v>0.62373432380426641</v>
      </c>
      <c r="K37" t="s">
        <v>24</v>
      </c>
    </row>
    <row r="39" spans="7:11" x14ac:dyDescent="0.3">
      <c r="G39" t="s">
        <v>69</v>
      </c>
      <c r="H39" t="str">
        <f>IMDIV(H32,H33)</f>
        <v>274509.82125665-444.391684908132i</v>
      </c>
    </row>
    <row r="40" spans="7:11" x14ac:dyDescent="0.3">
      <c r="G40" t="s">
        <v>59</v>
      </c>
      <c r="H40" t="str">
        <f>IMSQRT(H39)</f>
        <v>523.93702017322-0.424088838732192i</v>
      </c>
    </row>
    <row r="41" spans="7:11" x14ac:dyDescent="0.3">
      <c r="G41" t="s">
        <v>63</v>
      </c>
      <c r="H41">
        <f>SQRT(H28/J28)</f>
        <v>523.93683199558382</v>
      </c>
    </row>
    <row r="42" spans="7:11" x14ac:dyDescent="0.3">
      <c r="G42" t="s">
        <v>62</v>
      </c>
      <c r="H42">
        <f>(H41/2)*((M27/H31)-(L27/H30))</f>
        <v>-0.42408899169365333</v>
      </c>
    </row>
  </sheetData>
  <mergeCells count="6">
    <mergeCell ref="I7:I8"/>
    <mergeCell ref="K7:K8"/>
    <mergeCell ref="I16:I17"/>
    <mergeCell ref="K16:K17"/>
    <mergeCell ref="I27:I28"/>
    <mergeCell ref="K27:K2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E4F7B-4B94-4B11-87DF-D4E964D8567E}">
  <dimension ref="B2:D12"/>
  <sheetViews>
    <sheetView tabSelected="1" workbookViewId="0">
      <selection activeCell="C4" sqref="C4"/>
    </sheetView>
  </sheetViews>
  <sheetFormatPr baseColWidth="10" defaultRowHeight="14.4" x14ac:dyDescent="0.3"/>
  <cols>
    <col min="2" max="2" width="12.6640625" bestFit="1" customWidth="1"/>
  </cols>
  <sheetData>
    <row r="2" spans="2:4" x14ac:dyDescent="0.3">
      <c r="B2" t="s">
        <v>107</v>
      </c>
    </row>
    <row r="4" spans="2:4" x14ac:dyDescent="0.3">
      <c r="B4" t="s">
        <v>108</v>
      </c>
    </row>
    <row r="5" spans="2:4" x14ac:dyDescent="0.3">
      <c r="B5" t="s">
        <v>109</v>
      </c>
      <c r="C5">
        <v>12</v>
      </c>
    </row>
    <row r="6" spans="2:4" x14ac:dyDescent="0.3">
      <c r="B6" t="s">
        <v>110</v>
      </c>
      <c r="C6">
        <f>80*10^6</f>
        <v>80000000</v>
      </c>
      <c r="D6" t="s">
        <v>111</v>
      </c>
    </row>
    <row r="7" spans="2:4" x14ac:dyDescent="0.3">
      <c r="B7" t="s">
        <v>112</v>
      </c>
      <c r="C7">
        <v>100</v>
      </c>
      <c r="D7" s="18" t="s">
        <v>113</v>
      </c>
    </row>
    <row r="8" spans="2:4" x14ac:dyDescent="0.3">
      <c r="B8" t="s">
        <v>114</v>
      </c>
      <c r="C8" s="3">
        <v>0.75</v>
      </c>
    </row>
    <row r="9" spans="2:4" x14ac:dyDescent="0.3">
      <c r="B9" t="s">
        <v>115</v>
      </c>
      <c r="C9" t="str">
        <f>COMPLEX(200,20)</f>
        <v>200+20i</v>
      </c>
    </row>
    <row r="11" spans="2:4" x14ac:dyDescent="0.3">
      <c r="B11" t="s">
        <v>116</v>
      </c>
    </row>
    <row r="12" spans="2:4" x14ac:dyDescent="0.3">
      <c r="B12" t="s">
        <v>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S66"/>
  <sheetViews>
    <sheetView topLeftCell="A46" zoomScale="97" zoomScaleNormal="97" workbookViewId="0">
      <selection activeCell="G37" sqref="G37"/>
    </sheetView>
  </sheetViews>
  <sheetFormatPr baseColWidth="10" defaultRowHeight="14.4" x14ac:dyDescent="0.3"/>
  <cols>
    <col min="5" max="5" width="12" customWidth="1"/>
    <col min="6" max="6" width="12" bestFit="1" customWidth="1"/>
    <col min="7" max="7" width="13.6640625" customWidth="1"/>
    <col min="8" max="8" width="11.88671875" bestFit="1" customWidth="1"/>
    <col min="11" max="11" width="12" bestFit="1" customWidth="1"/>
    <col min="12" max="12" width="12" customWidth="1"/>
  </cols>
  <sheetData>
    <row r="4" spans="1:19" x14ac:dyDescent="0.3">
      <c r="A4" s="2" t="s">
        <v>20</v>
      </c>
    </row>
    <row r="6" spans="1:19" x14ac:dyDescent="0.3">
      <c r="L6" t="s">
        <v>19</v>
      </c>
      <c r="M6" t="s">
        <v>6</v>
      </c>
    </row>
    <row r="7" spans="1:19" x14ac:dyDescent="0.3">
      <c r="L7" t="s">
        <v>7</v>
      </c>
      <c r="M7">
        <f>150*(10^6)</f>
        <v>150000000</v>
      </c>
    </row>
    <row r="8" spans="1:19" x14ac:dyDescent="0.3">
      <c r="E8" t="s">
        <v>19</v>
      </c>
      <c r="F8" t="s">
        <v>0</v>
      </c>
      <c r="G8" t="s">
        <v>1</v>
      </c>
      <c r="H8" t="s">
        <v>4</v>
      </c>
      <c r="I8" t="s">
        <v>5</v>
      </c>
      <c r="L8" t="s">
        <v>8</v>
      </c>
      <c r="M8">
        <f>2*PI()*M7</f>
        <v>942477796.07693791</v>
      </c>
      <c r="Q8" t="s">
        <v>25</v>
      </c>
      <c r="R8">
        <v>20</v>
      </c>
    </row>
    <row r="9" spans="1:19" x14ac:dyDescent="0.3">
      <c r="E9" t="s">
        <v>2</v>
      </c>
      <c r="F9">
        <f>1.2*(10^-6)</f>
        <v>1.1999999999999999E-6</v>
      </c>
      <c r="G9">
        <f>30*(10^-12)</f>
        <v>3E-11</v>
      </c>
    </row>
    <row r="10" spans="1:19" x14ac:dyDescent="0.3">
      <c r="E10" t="s">
        <v>3</v>
      </c>
      <c r="F10">
        <f t="shared" ref="F10:F11" si="0">1.2*(10^-6)</f>
        <v>1.1999999999999999E-6</v>
      </c>
      <c r="G10">
        <f t="shared" ref="G10:G11" si="1">30*(10^-12)</f>
        <v>3E-11</v>
      </c>
      <c r="H10">
        <v>0.1</v>
      </c>
      <c r="Q10" s="1" t="s">
        <v>21</v>
      </c>
      <c r="R10" t="s">
        <v>26</v>
      </c>
      <c r="S10">
        <f>R8^2/(2*F18)</f>
        <v>1</v>
      </c>
    </row>
    <row r="11" spans="1:19" x14ac:dyDescent="0.3">
      <c r="E11" t="s">
        <v>1</v>
      </c>
      <c r="F11">
        <f t="shared" si="0"/>
        <v>1.1999999999999999E-6</v>
      </c>
      <c r="G11">
        <f t="shared" si="1"/>
        <v>3E-11</v>
      </c>
      <c r="H11">
        <v>0.1</v>
      </c>
      <c r="I11">
        <f>(10^-6)</f>
        <v>9.9999999999999995E-7</v>
      </c>
    </row>
    <row r="13" spans="1:19" x14ac:dyDescent="0.3">
      <c r="Q13" s="1" t="s">
        <v>22</v>
      </c>
      <c r="R13" t="s">
        <v>26</v>
      </c>
      <c r="S13">
        <f>$R$8^2*$J$18/(2*IMABS(IMSQRT(IMDIV(COMPLEX($H$10,$M$8*$F$10),COMPLEX(0,$M$8*$G$10))))^2)</f>
        <v>0.99999999609100199</v>
      </c>
    </row>
    <row r="14" spans="1:19" x14ac:dyDescent="0.3">
      <c r="E14">
        <f>((10^7)*2*PI())*(SQRT(F9*G9))</f>
        <v>0.37699111843077521</v>
      </c>
    </row>
    <row r="15" spans="1:19" x14ac:dyDescent="0.3">
      <c r="Q15" s="1" t="s">
        <v>24</v>
      </c>
      <c r="R15" t="s">
        <v>26</v>
      </c>
      <c r="S15">
        <f>$R$8^2*$J$18/(2*IMABS(IMSQRT(IMDIV(COMPLEX($H$10,$M$8*$F$10),COMPLEX($I$11,$M$8*$G$10))))^2)</f>
        <v>0.99999999671644058</v>
      </c>
    </row>
    <row r="16" spans="1:19" x14ac:dyDescent="0.3">
      <c r="C16" t="s">
        <v>16</v>
      </c>
      <c r="D16" s="1" t="s">
        <v>2</v>
      </c>
      <c r="E16" t="s">
        <v>9</v>
      </c>
      <c r="F16">
        <f>M8*(SQRT(F9*G9))</f>
        <v>5.6548667764616276</v>
      </c>
      <c r="H16" s="1" t="s">
        <v>3</v>
      </c>
      <c r="I16" t="s">
        <v>9</v>
      </c>
      <c r="J16">
        <f>M8*(SQRT(F9*G9))</f>
        <v>5.6548667764616276</v>
      </c>
      <c r="K16" t="s">
        <v>12</v>
      </c>
      <c r="L16">
        <f>(H10*J16)/(2*M8*F9)</f>
        <v>2.5000000000000001E-4</v>
      </c>
    </row>
    <row r="17" spans="5:12" x14ac:dyDescent="0.3">
      <c r="E17" t="s">
        <v>10</v>
      </c>
      <c r="F17">
        <f>1/(SQRT(F9*G9))</f>
        <v>166666666.66666666</v>
      </c>
      <c r="I17" t="s">
        <v>10</v>
      </c>
      <c r="J17">
        <f>1/SQRT(F10*G10)</f>
        <v>166666666.66666666</v>
      </c>
    </row>
    <row r="18" spans="5:12" x14ac:dyDescent="0.3">
      <c r="E18" t="s">
        <v>11</v>
      </c>
      <c r="F18">
        <f>SQRT(F9/G9)</f>
        <v>200</v>
      </c>
      <c r="I18" t="s">
        <v>17</v>
      </c>
      <c r="J18">
        <f>SQRT(F10/G10)</f>
        <v>200</v>
      </c>
      <c r="K18" t="s">
        <v>18</v>
      </c>
      <c r="L18">
        <f>-(H10*J18)/(2*M8*F10)</f>
        <v>-8.8419412828830736E-3</v>
      </c>
    </row>
    <row r="21" spans="5:12" x14ac:dyDescent="0.3">
      <c r="F21" s="1" t="s">
        <v>1</v>
      </c>
      <c r="G21" t="s">
        <v>13</v>
      </c>
      <c r="H21" t="str">
        <f>COMPLEX(H11,M8*F11)</f>
        <v>0.1+1130.97335529233i</v>
      </c>
      <c r="J21" t="s">
        <v>14</v>
      </c>
      <c r="K21" t="str">
        <f>COMPLEX(I11,M8*G11)</f>
        <v>0.000001+0.0282743338823081i</v>
      </c>
    </row>
    <row r="22" spans="5:12" x14ac:dyDescent="0.3">
      <c r="G22" t="s">
        <v>9</v>
      </c>
      <c r="H22" t="str">
        <f>COMPLEX(J16,L16)</f>
        <v>5.65486677646163+0.00025i</v>
      </c>
    </row>
    <row r="23" spans="5:12" x14ac:dyDescent="0.3">
      <c r="G23" t="s">
        <v>10</v>
      </c>
      <c r="H23">
        <f>M8/J16</f>
        <v>166666666.66666666</v>
      </c>
    </row>
    <row r="24" spans="5:12" x14ac:dyDescent="0.3">
      <c r="G24" t="s">
        <v>15</v>
      </c>
      <c r="H24" t="str">
        <f>IMSQRT(IMDIV(H21,K21))</f>
        <v>200.000000257994-0.00530516475625021i</v>
      </c>
    </row>
    <row r="41" spans="7:9" x14ac:dyDescent="0.3">
      <c r="G41" s="1" t="s">
        <v>21</v>
      </c>
      <c r="H41" t="s">
        <v>7</v>
      </c>
      <c r="I41" t="s">
        <v>11</v>
      </c>
    </row>
    <row r="42" spans="7:9" x14ac:dyDescent="0.3">
      <c r="H42">
        <v>100</v>
      </c>
      <c r="I42">
        <f>SQRT($F$9/$G$9)</f>
        <v>200</v>
      </c>
    </row>
    <row r="43" spans="7:9" x14ac:dyDescent="0.3">
      <c r="H43">
        <v>5000</v>
      </c>
      <c r="I43">
        <f t="shared" ref="I43:I52" si="2">SQRT($F$9/$G$9)</f>
        <v>200</v>
      </c>
    </row>
    <row r="44" spans="7:9" x14ac:dyDescent="0.3">
      <c r="H44">
        <v>10000</v>
      </c>
      <c r="I44">
        <f t="shared" si="2"/>
        <v>200</v>
      </c>
    </row>
    <row r="45" spans="7:9" x14ac:dyDescent="0.3">
      <c r="H45">
        <v>15000</v>
      </c>
      <c r="I45">
        <f t="shared" si="2"/>
        <v>200</v>
      </c>
    </row>
    <row r="46" spans="7:9" x14ac:dyDescent="0.3">
      <c r="H46">
        <v>20000</v>
      </c>
      <c r="I46">
        <f t="shared" si="2"/>
        <v>200</v>
      </c>
    </row>
    <row r="47" spans="7:9" x14ac:dyDescent="0.3">
      <c r="H47">
        <v>25000</v>
      </c>
      <c r="I47">
        <f t="shared" si="2"/>
        <v>200</v>
      </c>
    </row>
    <row r="48" spans="7:9" x14ac:dyDescent="0.3">
      <c r="H48">
        <v>30000</v>
      </c>
      <c r="I48">
        <f t="shared" si="2"/>
        <v>200</v>
      </c>
    </row>
    <row r="49" spans="7:15" x14ac:dyDescent="0.3">
      <c r="H49">
        <v>35000</v>
      </c>
      <c r="I49">
        <f t="shared" si="2"/>
        <v>200</v>
      </c>
    </row>
    <row r="50" spans="7:15" x14ac:dyDescent="0.3">
      <c r="H50">
        <v>40000</v>
      </c>
      <c r="I50">
        <f t="shared" si="2"/>
        <v>200</v>
      </c>
    </row>
    <row r="51" spans="7:15" x14ac:dyDescent="0.3">
      <c r="H51">
        <v>45000</v>
      </c>
      <c r="I51">
        <f t="shared" si="2"/>
        <v>200</v>
      </c>
    </row>
    <row r="52" spans="7:15" x14ac:dyDescent="0.3">
      <c r="H52">
        <v>50000</v>
      </c>
      <c r="I52">
        <f t="shared" si="2"/>
        <v>200</v>
      </c>
    </row>
    <row r="55" spans="7:15" x14ac:dyDescent="0.3">
      <c r="G55" s="1" t="s">
        <v>22</v>
      </c>
      <c r="H55" t="s">
        <v>7</v>
      </c>
      <c r="I55" t="s">
        <v>11</v>
      </c>
      <c r="J55" t="s">
        <v>23</v>
      </c>
      <c r="L55" s="1" t="s">
        <v>24</v>
      </c>
      <c r="M55" t="s">
        <v>7</v>
      </c>
      <c r="N55" t="s">
        <v>11</v>
      </c>
      <c r="O55" t="s">
        <v>23</v>
      </c>
    </row>
    <row r="56" spans="7:15" x14ac:dyDescent="0.3">
      <c r="H56">
        <v>100</v>
      </c>
      <c r="I56" t="str">
        <f>IMSQRT(IMDIV(COMPLEX($H$10,2*PI()*H56*$F$10),COMPLEX(0,2*PI()*H56*$G$10)))</f>
        <v>1634.8265296407-1622.5466964057i</v>
      </c>
      <c r="J56">
        <f>IMABS(I56)</f>
        <v>2303.3270640606179</v>
      </c>
      <c r="M56">
        <v>100</v>
      </c>
      <c r="N56" t="str">
        <f>IMSQRT(IMDIV(COMPLEX($H$10,2*PI()*M56*$F$10),COMPLEX($I$11,2*PI()*M56*$G$10)))</f>
        <v>316.199122841871-1.78775267703349i</v>
      </c>
      <c r="O56">
        <f>IMABS(N56)</f>
        <v>316.20417667324199</v>
      </c>
    </row>
    <row r="57" spans="7:15" x14ac:dyDescent="0.3">
      <c r="H57">
        <v>5000</v>
      </c>
      <c r="I57" t="str">
        <f t="shared" ref="I57:I66" si="3">IMSQRT(IMDIV(COMPLEX($H$10,2*PI()*H57*$F$10),COMPLEX(0,2*PI()*H57*$G$10)))</f>
        <v>276.941078137096-191.562942031431i</v>
      </c>
      <c r="J57">
        <f t="shared" ref="J57:J66" si="4">IMABS(I57)</f>
        <v>336.73835765988184</v>
      </c>
      <c r="M57">
        <v>5000</v>
      </c>
      <c r="N57" t="str">
        <f t="shared" ref="N57:N66" si="5">IMSQRT(IMDIV(COMPLEX($H$10,2*PI()*M57*$F$10),COMPLEX($I$11,2*PI()*M57*$G$10)))</f>
        <v>273.447896567007-54.7589347072888i</v>
      </c>
      <c r="O57">
        <f t="shared" ref="O57:O66" si="6">IMABS(N57)</f>
        <v>278.87684211349938</v>
      </c>
    </row>
    <row r="58" spans="7:15" x14ac:dyDescent="0.3">
      <c r="H58">
        <v>10000</v>
      </c>
      <c r="I58" t="str">
        <f t="shared" si="3"/>
        <v>230.696264729696-114.981592266911i</v>
      </c>
      <c r="J58">
        <f t="shared" si="4"/>
        <v>257.76255181943736</v>
      </c>
      <c r="M58">
        <v>10000</v>
      </c>
      <c r="N58" t="str">
        <f t="shared" si="5"/>
        <v>236.507238779062-52.5139633851436i</v>
      </c>
      <c r="O58">
        <f t="shared" si="6"/>
        <v>242.26718792546475</v>
      </c>
    </row>
    <row r="59" spans="7:15" x14ac:dyDescent="0.3">
      <c r="H59">
        <v>15000</v>
      </c>
      <c r="I59" t="str">
        <f t="shared" si="3"/>
        <v>216.094448609008-81.8340437692715i</v>
      </c>
      <c r="J59">
        <f t="shared" si="4"/>
        <v>231.07059838772705</v>
      </c>
      <c r="M59">
        <v>15000</v>
      </c>
      <c r="N59" t="str">
        <f t="shared" si="5"/>
        <v>220.237207952092-42.8204999156652i</v>
      </c>
      <c r="O59">
        <f t="shared" si="6"/>
        <v>224.36136694975031</v>
      </c>
    </row>
    <row r="60" spans="7:15" x14ac:dyDescent="0.3">
      <c r="H60">
        <v>20000</v>
      </c>
      <c r="I60" t="str">
        <f t="shared" si="3"/>
        <v>209.757043424706-63.2298763740223i</v>
      </c>
      <c r="J60">
        <f t="shared" si="4"/>
        <v>219.07997291525339</v>
      </c>
      <c r="M60">
        <v>20000</v>
      </c>
      <c r="N60" t="str">
        <f t="shared" si="5"/>
        <v>212.52748913537-34.981978569436i</v>
      </c>
      <c r="O60">
        <f t="shared" si="6"/>
        <v>215.38726160759202</v>
      </c>
    </row>
    <row r="61" spans="7:15" x14ac:dyDescent="0.3">
      <c r="H61">
        <v>25000</v>
      </c>
      <c r="I61" t="str">
        <f t="shared" si="3"/>
        <v>206.495059622923-51.3829704150551i</v>
      </c>
      <c r="J61">
        <f t="shared" si="4"/>
        <v>212.79196248295884</v>
      </c>
      <c r="M61">
        <v>25000</v>
      </c>
      <c r="N61" t="str">
        <f t="shared" si="5"/>
        <v>208.422112342121-29.2285244559294i</v>
      </c>
      <c r="O61">
        <f t="shared" si="6"/>
        <v>210.46159638998887</v>
      </c>
    </row>
    <row r="62" spans="7:15" x14ac:dyDescent="0.3">
      <c r="H62">
        <v>30000</v>
      </c>
      <c r="I62" t="str">
        <f t="shared" si="3"/>
        <v>204.61506671252-43.2125621291896i</v>
      </c>
      <c r="J62">
        <f t="shared" si="4"/>
        <v>209.12831241019967</v>
      </c>
      <c r="M62">
        <v>30000</v>
      </c>
      <c r="N62" t="str">
        <f t="shared" si="5"/>
        <v>206.01683161473-24.9702539548651i</v>
      </c>
      <c r="O62">
        <f t="shared" si="6"/>
        <v>207.5245732224077</v>
      </c>
    </row>
    <row r="63" spans="7:15" x14ac:dyDescent="0.3">
      <c r="H63">
        <v>35000</v>
      </c>
      <c r="I63" t="str">
        <f t="shared" si="3"/>
        <v>203.439936029437-37.2532894072634i</v>
      </c>
      <c r="J63">
        <f t="shared" si="4"/>
        <v>206.82266593224918</v>
      </c>
      <c r="M63">
        <v>35000</v>
      </c>
      <c r="N63" t="str">
        <f t="shared" si="5"/>
        <v>204.499499636726-21.7367534413928i</v>
      </c>
      <c r="O63">
        <f t="shared" si="6"/>
        <v>205.65148139958342</v>
      </c>
    </row>
    <row r="64" spans="7:15" x14ac:dyDescent="0.3">
      <c r="H64">
        <v>40000</v>
      </c>
      <c r="I64" t="str">
        <f t="shared" si="3"/>
        <v>202.65917927198-32.7222087150689i</v>
      </c>
      <c r="J64">
        <f t="shared" si="4"/>
        <v>205.28391531336558</v>
      </c>
      <c r="M64">
        <v>40000</v>
      </c>
      <c r="N64" t="str">
        <f t="shared" si="5"/>
        <v>203.485681345948-19.2155689938712i</v>
      </c>
      <c r="O64">
        <f t="shared" si="6"/>
        <v>204.39095039796382</v>
      </c>
    </row>
    <row r="65" spans="8:15" x14ac:dyDescent="0.3">
      <c r="H65">
        <v>45000</v>
      </c>
      <c r="I65" t="str">
        <f t="shared" si="3"/>
        <v>202.115261016841-29.1646830242616i</v>
      </c>
      <c r="J65">
        <f t="shared" si="4"/>
        <v>204.20861262887865</v>
      </c>
      <c r="M65">
        <v>45000</v>
      </c>
      <c r="N65" t="str">
        <f t="shared" si="5"/>
        <v>202.776769491766-17.2026309202383i</v>
      </c>
      <c r="O65">
        <f t="shared" si="6"/>
        <v>203.50515658354888</v>
      </c>
    </row>
    <row r="66" spans="8:15" x14ac:dyDescent="0.3">
      <c r="H66">
        <v>50000</v>
      </c>
      <c r="I66" t="str">
        <f t="shared" si="3"/>
        <v>201.721737819556-26.2994203156995i</v>
      </c>
      <c r="J66">
        <f t="shared" si="4"/>
        <v>203.42890408662072</v>
      </c>
      <c r="M66">
        <v>50000</v>
      </c>
      <c r="N66" t="str">
        <f t="shared" si="5"/>
        <v>202.262549124606-15.5622618899155i</v>
      </c>
      <c r="O66">
        <f t="shared" si="6"/>
        <v>202.86035288718685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C335C-9FDD-4637-94BD-E83EC1190347}">
  <dimension ref="A1:L27"/>
  <sheetViews>
    <sheetView topLeftCell="A19" workbookViewId="0">
      <selection activeCell="I13" sqref="I13"/>
    </sheetView>
  </sheetViews>
  <sheetFormatPr baseColWidth="10" defaultRowHeight="14.4" x14ac:dyDescent="0.3"/>
  <cols>
    <col min="8" max="8" width="18.44140625" customWidth="1"/>
    <col min="10" max="10" width="11.6640625" bestFit="1" customWidth="1"/>
    <col min="11" max="11" width="11.44140625" customWidth="1"/>
  </cols>
  <sheetData>
    <row r="1" spans="1:12" x14ac:dyDescent="0.3">
      <c r="A1" s="6" t="s">
        <v>46</v>
      </c>
      <c r="B1" s="3"/>
      <c r="D1" s="3" t="s">
        <v>45</v>
      </c>
      <c r="E1" s="3" t="e">
        <f>+D1+D1</f>
        <v>#VALUE!</v>
      </c>
      <c r="F1">
        <f>1.2*10^-6</f>
        <v>1.1999999999999999E-6</v>
      </c>
      <c r="H1" s="1" t="s">
        <v>44</v>
      </c>
      <c r="I1" s="1" t="s">
        <v>43</v>
      </c>
    </row>
    <row r="2" spans="1:12" x14ac:dyDescent="0.3">
      <c r="A2" s="6" t="s">
        <v>42</v>
      </c>
      <c r="B2" s="3"/>
      <c r="D2" s="3" t="s">
        <v>41</v>
      </c>
      <c r="F2">
        <f>30*10^-12</f>
        <v>3E-11</v>
      </c>
      <c r="H2" s="1" t="s">
        <v>40</v>
      </c>
      <c r="I2" s="1"/>
    </row>
    <row r="3" spans="1:12" x14ac:dyDescent="0.3">
      <c r="A3" s="6" t="s">
        <v>39</v>
      </c>
      <c r="B3" s="3"/>
      <c r="D3" s="3">
        <v>0.1</v>
      </c>
      <c r="F3">
        <v>0.1</v>
      </c>
      <c r="H3" s="1" t="s">
        <v>38</v>
      </c>
      <c r="I3" s="1"/>
    </row>
    <row r="4" spans="1:12" x14ac:dyDescent="0.3">
      <c r="A4" s="6" t="s">
        <v>37</v>
      </c>
      <c r="B4" s="3"/>
      <c r="D4" s="3" t="s">
        <v>36</v>
      </c>
      <c r="F4">
        <f>10^-6</f>
        <v>9.9999999999999995E-7</v>
      </c>
      <c r="H4" s="1" t="s">
        <v>35</v>
      </c>
      <c r="I4" s="1"/>
    </row>
    <row r="5" spans="1:12" x14ac:dyDescent="0.3">
      <c r="A5" s="6" t="s">
        <v>34</v>
      </c>
      <c r="B5" s="3"/>
      <c r="D5" s="3" t="s">
        <v>33</v>
      </c>
      <c r="F5">
        <f>50*10^6</f>
        <v>50000000</v>
      </c>
      <c r="G5">
        <f>2*PI()*F5</f>
        <v>314159265.35897928</v>
      </c>
    </row>
    <row r="6" spans="1:12" x14ac:dyDescent="0.3">
      <c r="A6" t="s">
        <v>32</v>
      </c>
    </row>
    <row r="7" spans="1:12" x14ac:dyDescent="0.3">
      <c r="I7" t="s">
        <v>31</v>
      </c>
      <c r="J7" t="e" cm="1">
        <f t="array" ref="J7">IMSQRT(IMDIV(IMSUM(D3,120*PI()*i),(IMSUM(D4,3*PI()*J10))))</f>
        <v>#NAME?</v>
      </c>
    </row>
    <row r="13" spans="1:12" x14ac:dyDescent="0.3">
      <c r="I13" s="5" t="s">
        <v>30</v>
      </c>
      <c r="J13" s="5" t="s">
        <v>8</v>
      </c>
      <c r="K13" t="s">
        <v>29</v>
      </c>
    </row>
    <row r="14" spans="1:12" x14ac:dyDescent="0.3">
      <c r="I14">
        <v>0.01</v>
      </c>
      <c r="J14" s="3">
        <f>2*PI()*I14*1000</f>
        <v>62.831853071795869</v>
      </c>
      <c r="K14">
        <v>316.22800000000001</v>
      </c>
      <c r="L14" s="4"/>
    </row>
    <row r="15" spans="1:12" x14ac:dyDescent="0.3">
      <c r="I15">
        <v>0.1</v>
      </c>
      <c r="J15" s="3">
        <f>2*PI()*I15*1000</f>
        <v>628.31853071795865</v>
      </c>
      <c r="K15">
        <v>316.20400000000001</v>
      </c>
      <c r="L15" s="4"/>
    </row>
    <row r="16" spans="1:12" x14ac:dyDescent="0.3">
      <c r="I16">
        <v>1</v>
      </c>
      <c r="J16" s="3">
        <f>2*PI()*I16*1000</f>
        <v>6283.1853071795858</v>
      </c>
      <c r="K16">
        <v>313.92399999999998</v>
      </c>
      <c r="L16" s="4"/>
    </row>
    <row r="17" spans="1:12" x14ac:dyDescent="0.3">
      <c r="I17">
        <v>10</v>
      </c>
      <c r="J17" s="3">
        <f>2*PI()*I17*1000</f>
        <v>62831.853071795864</v>
      </c>
      <c r="K17" s="3">
        <v>242.267</v>
      </c>
      <c r="L17" s="4"/>
    </row>
    <row r="18" spans="1:12" x14ac:dyDescent="0.3">
      <c r="A18" t="s">
        <v>28</v>
      </c>
      <c r="I18">
        <v>20</v>
      </c>
      <c r="J18" s="3">
        <f>2*PI()*I18*1000</f>
        <v>125663.70614359173</v>
      </c>
      <c r="K18" s="3">
        <v>215.387</v>
      </c>
      <c r="L18" s="4"/>
    </row>
    <row r="19" spans="1:12" x14ac:dyDescent="0.3">
      <c r="I19">
        <v>30</v>
      </c>
      <c r="J19" s="3">
        <f>2*PI()*I19*1000</f>
        <v>188495.55921538756</v>
      </c>
      <c r="K19" s="3">
        <v>207.52500000000001</v>
      </c>
      <c r="L19" s="4"/>
    </row>
    <row r="20" spans="1:12" x14ac:dyDescent="0.3">
      <c r="I20">
        <v>40</v>
      </c>
      <c r="J20" s="3">
        <f>2*PI()*I20*1000</f>
        <v>251327.41228718346</v>
      </c>
      <c r="K20" s="3">
        <v>204.39099999999999</v>
      </c>
    </row>
    <row r="21" spans="1:12" x14ac:dyDescent="0.3">
      <c r="I21">
        <v>50</v>
      </c>
      <c r="J21" s="3">
        <f>2*PI()*I21*1000</f>
        <v>314159.26535897935</v>
      </c>
      <c r="K21" s="3">
        <v>202.86</v>
      </c>
    </row>
    <row r="22" spans="1:12" x14ac:dyDescent="0.3">
      <c r="I22">
        <v>60</v>
      </c>
      <c r="J22" s="3">
        <f>2*PI()*I22*1000</f>
        <v>376991.11843077512</v>
      </c>
      <c r="K22" s="3">
        <v>202.006</v>
      </c>
    </row>
    <row r="27" spans="1:12" x14ac:dyDescent="0.3">
      <c r="A27" t="s">
        <v>27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EACA8-50A2-49FE-BA8C-E2F745F0E153}">
  <dimension ref="I2:L7"/>
  <sheetViews>
    <sheetView workbookViewId="0">
      <selection activeCell="J6" sqref="J6"/>
    </sheetView>
  </sheetViews>
  <sheetFormatPr baseColWidth="10" defaultRowHeight="14.4" x14ac:dyDescent="0.3"/>
  <sheetData>
    <row r="2" spans="9:12" x14ac:dyDescent="0.3">
      <c r="I2" t="s">
        <v>4</v>
      </c>
      <c r="J2" t="s">
        <v>79</v>
      </c>
      <c r="K2" t="s">
        <v>5</v>
      </c>
      <c r="L2" t="s">
        <v>80</v>
      </c>
    </row>
    <row r="3" spans="9:12" x14ac:dyDescent="0.3">
      <c r="I3">
        <v>0.1</v>
      </c>
      <c r="J3">
        <v>75.398223686155035</v>
      </c>
      <c r="K3">
        <f>1*10^-6</f>
        <v>9.9999999999999995E-7</v>
      </c>
      <c r="L3">
        <v>1.8849555921538761E-3</v>
      </c>
    </row>
    <row r="6" spans="9:12" x14ac:dyDescent="0.3">
      <c r="I6" t="s">
        <v>59</v>
      </c>
      <c r="J6" s="13">
        <f>SQRT(I3+J3/(K3+L3))</f>
        <v>199.9472195177043</v>
      </c>
    </row>
    <row r="7" spans="9:12" x14ac:dyDescent="0.3">
      <c r="I7" t="s">
        <v>78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02893-6765-4F98-B430-079AB2FFC7D3}">
  <dimension ref="G1:L9"/>
  <sheetViews>
    <sheetView workbookViewId="0">
      <selection activeCell="D18" sqref="D18"/>
    </sheetView>
  </sheetViews>
  <sheetFormatPr baseColWidth="10" defaultRowHeight="14.4" x14ac:dyDescent="0.3"/>
  <sheetData>
    <row r="1" spans="7:12" x14ac:dyDescent="0.3">
      <c r="G1" t="s">
        <v>77</v>
      </c>
    </row>
    <row r="2" spans="7:12" x14ac:dyDescent="0.3">
      <c r="G2" t="s">
        <v>70</v>
      </c>
      <c r="H2" t="s">
        <v>73</v>
      </c>
      <c r="I2" t="s">
        <v>29</v>
      </c>
      <c r="J2" t="s">
        <v>74</v>
      </c>
      <c r="K2" t="s">
        <v>75</v>
      </c>
      <c r="L2" t="s">
        <v>76</v>
      </c>
    </row>
    <row r="3" spans="7:12" x14ac:dyDescent="0.3">
      <c r="H3">
        <v>200</v>
      </c>
      <c r="I3">
        <v>200</v>
      </c>
      <c r="K3">
        <v>10</v>
      </c>
      <c r="L3">
        <f>K3^2/(2*I3)</f>
        <v>0.25</v>
      </c>
    </row>
    <row r="5" spans="7:12" x14ac:dyDescent="0.3">
      <c r="G5" t="s">
        <v>71</v>
      </c>
      <c r="H5" t="s">
        <v>73</v>
      </c>
      <c r="I5" t="s">
        <v>29</v>
      </c>
      <c r="J5" t="s">
        <v>74</v>
      </c>
      <c r="K5" t="s">
        <v>75</v>
      </c>
      <c r="L5" t="s">
        <v>76</v>
      </c>
    </row>
    <row r="6" spans="7:12" x14ac:dyDescent="0.3">
      <c r="H6">
        <v>200</v>
      </c>
      <c r="I6">
        <f>200-IMSQRT(L3)</f>
        <v>199.5</v>
      </c>
      <c r="J6">
        <v>200</v>
      </c>
      <c r="K6">
        <v>10</v>
      </c>
      <c r="L6">
        <f>K6^2*H6/(2*J6^2)</f>
        <v>0.25</v>
      </c>
    </row>
    <row r="8" spans="7:12" x14ac:dyDescent="0.3">
      <c r="G8" t="s">
        <v>72</v>
      </c>
      <c r="H8" t="s">
        <v>73</v>
      </c>
      <c r="I8" t="s">
        <v>29</v>
      </c>
      <c r="J8" t="s">
        <v>74</v>
      </c>
      <c r="K8" t="s">
        <v>75</v>
      </c>
      <c r="L8" t="s">
        <v>76</v>
      </c>
    </row>
    <row r="9" spans="7:12" x14ac:dyDescent="0.3">
      <c r="H9">
        <v>200</v>
      </c>
      <c r="I9">
        <f>200-IMSQRT(L6)</f>
        <v>199.5</v>
      </c>
      <c r="J9">
        <v>200</v>
      </c>
      <c r="K9">
        <v>10</v>
      </c>
      <c r="L9" s="3">
        <f>K9^2*H9/(2*J9^2)</f>
        <v>0.25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F7277-4C0D-4E95-8024-C26A48A5D146}">
  <dimension ref="A1"/>
  <sheetViews>
    <sheetView workbookViewId="0">
      <selection activeCell="K32" sqref="K32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57C05-A943-42AA-8324-055160FFB586}">
  <dimension ref="B1:M23"/>
  <sheetViews>
    <sheetView zoomScaleNormal="100" workbookViewId="0">
      <selection activeCell="E9" sqref="E9"/>
    </sheetView>
  </sheetViews>
  <sheetFormatPr baseColWidth="10" defaultColWidth="8.88671875" defaultRowHeight="14.4" x14ac:dyDescent="0.3"/>
  <cols>
    <col min="2" max="2" width="10.44140625" customWidth="1"/>
    <col min="8" max="8" width="12" bestFit="1" customWidth="1"/>
    <col min="12" max="12" width="12" bestFit="1" customWidth="1"/>
  </cols>
  <sheetData>
    <row r="1" spans="2:13" x14ac:dyDescent="0.3">
      <c r="K1" t="s">
        <v>24</v>
      </c>
      <c r="L1">
        <f>3*10^8</f>
        <v>300000000</v>
      </c>
    </row>
    <row r="2" spans="2:13" x14ac:dyDescent="0.3">
      <c r="J2" t="s">
        <v>93</v>
      </c>
      <c r="K2" t="s">
        <v>89</v>
      </c>
      <c r="L2">
        <f>7.3*10^-3</f>
        <v>7.3000000000000001E-3</v>
      </c>
    </row>
    <row r="3" spans="2:13" x14ac:dyDescent="0.3">
      <c r="J3" t="s">
        <v>94</v>
      </c>
      <c r="K3" t="s">
        <v>90</v>
      </c>
      <c r="L3" s="15">
        <f>5.4*10^-3</f>
        <v>5.4000000000000003E-3</v>
      </c>
    </row>
    <row r="4" spans="2:13" x14ac:dyDescent="0.3">
      <c r="K4" t="s">
        <v>29</v>
      </c>
      <c r="L4">
        <v>50</v>
      </c>
    </row>
    <row r="5" spans="2:13" x14ac:dyDescent="0.3">
      <c r="K5" t="s">
        <v>57</v>
      </c>
      <c r="L5">
        <f>0.66*L1</f>
        <v>198000000</v>
      </c>
    </row>
    <row r="6" spans="2:13" x14ac:dyDescent="0.3">
      <c r="K6" t="s">
        <v>7</v>
      </c>
      <c r="L6" s="15">
        <v>100000000</v>
      </c>
    </row>
    <row r="7" spans="2:13" x14ac:dyDescent="0.3">
      <c r="K7" s="14" t="s">
        <v>88</v>
      </c>
      <c r="L7">
        <v>11.5</v>
      </c>
    </row>
    <row r="8" spans="2:13" x14ac:dyDescent="0.3">
      <c r="K8" t="s">
        <v>87</v>
      </c>
      <c r="L8">
        <f>120*PI()</f>
        <v>376.99111843077515</v>
      </c>
    </row>
    <row r="9" spans="2:13" ht="15.6" x14ac:dyDescent="0.35">
      <c r="D9" s="16" t="s">
        <v>86</v>
      </c>
      <c r="E9">
        <f>1/((L5/L1)^2)</f>
        <v>2.2956841138659319</v>
      </c>
      <c r="K9" t="s">
        <v>85</v>
      </c>
      <c r="L9">
        <f>4*PI()*10^(-7)</f>
        <v>1.2566370614359173E-6</v>
      </c>
    </row>
    <row r="10" spans="2:13" x14ac:dyDescent="0.3">
      <c r="K10" t="s">
        <v>84</v>
      </c>
      <c r="L10">
        <f>10^(-9)/(36*PI())</f>
        <v>8.8419412828830754E-12</v>
      </c>
    </row>
    <row r="14" spans="2:13" x14ac:dyDescent="0.3">
      <c r="B14" t="s">
        <v>83</v>
      </c>
      <c r="C14">
        <f>2*PI()*SQRT(E9)*L4/L8</f>
        <v>1.2626262626262628</v>
      </c>
      <c r="G14" s="1" t="s">
        <v>0</v>
      </c>
      <c r="H14">
        <f>L9*C14/(2*PI())</f>
        <v>2.5252525252525258E-7</v>
      </c>
      <c r="L14" s="1" t="s">
        <v>1</v>
      </c>
      <c r="M14">
        <f>2*PI()*L10*E9/C14</f>
        <v>1.01010101010101E-10</v>
      </c>
    </row>
    <row r="15" spans="2:13" x14ac:dyDescent="0.3">
      <c r="B15" s="1" t="s">
        <v>92</v>
      </c>
      <c r="C15" s="15">
        <f>L3/EXP(C14)</f>
        <v>1.5277142910196395E-3</v>
      </c>
    </row>
    <row r="16" spans="2:13" x14ac:dyDescent="0.3">
      <c r="B16" t="s">
        <v>91</v>
      </c>
      <c r="C16">
        <f>L2/EXP(C14)</f>
        <v>2.0652433934154383E-3</v>
      </c>
    </row>
    <row r="22" spans="2:6" ht="13.8" customHeight="1" x14ac:dyDescent="0.3">
      <c r="B22" s="14" t="s">
        <v>82</v>
      </c>
      <c r="C22">
        <f>L7/100</f>
        <v>0.115</v>
      </c>
    </row>
    <row r="23" spans="2:6" ht="16.8" customHeight="1" x14ac:dyDescent="0.3">
      <c r="B23" s="14" t="s">
        <v>81</v>
      </c>
      <c r="C23">
        <f>C22/8.686</f>
        <v>1.323969606262952E-2</v>
      </c>
      <c r="E23" s="1" t="s">
        <v>4</v>
      </c>
      <c r="F23">
        <f>2*C23*L4</f>
        <v>1.323969606262952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6.1</vt:lpstr>
      <vt:lpstr>Hoja10</vt:lpstr>
      <vt:lpstr>Hoja1</vt:lpstr>
      <vt:lpstr>Hoja1 (2)</vt:lpstr>
      <vt:lpstr>6.2</vt:lpstr>
      <vt:lpstr>6.3</vt:lpstr>
      <vt:lpstr>6.4</vt:lpstr>
      <vt:lpstr>6.41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</dc:creator>
  <cp:lastModifiedBy>Javier Angel López Aguirre</cp:lastModifiedBy>
  <dcterms:created xsi:type="dcterms:W3CDTF">2024-10-11T13:47:05Z</dcterms:created>
  <dcterms:modified xsi:type="dcterms:W3CDTF">2024-11-03T23:07:13Z</dcterms:modified>
</cp:coreProperties>
</file>